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445" windowWidth="15600" windowHeight="6915" tabRatio="855" activeTab="1"/>
  </bookViews>
  <sheets>
    <sheet name="2014-15" sheetId="1" r:id="rId1"/>
    <sheet name="2015-16" sheetId="2" r:id="rId2"/>
    <sheet name="2016-17" sheetId="3" r:id="rId3"/>
    <sheet name="2017-18" sheetId="4" r:id="rId4"/>
  </sheets>
  <definedNames>
    <definedName name="_xlnm._FilterDatabase" localSheetId="0" hidden="1">'2014-15'!$A$4:$O$103</definedName>
    <definedName name="_xlnm._FilterDatabase" localSheetId="1" hidden="1">'2015-16'!$A$4:$M$104</definedName>
    <definedName name="_xlnm._FilterDatabase" localSheetId="2" hidden="1">'2016-17'!$A$4:$M$104</definedName>
    <definedName name="_xlnm._FilterDatabase" localSheetId="3" hidden="1">'2017-18'!$A$4:$M$104</definedName>
    <definedName name="_xlnm.Print_Area" localSheetId="0">'2014-15'!$A$1:$O$126</definedName>
    <definedName name="_xlnm.Print_Area" localSheetId="1">'2015-16'!$A$1:$M$128</definedName>
    <definedName name="_xlnm.Print_Area" localSheetId="2">'2016-17'!$A$1:$M$128</definedName>
    <definedName name="_xlnm.Print_Area" localSheetId="3">'2017-18'!$A$1:$M$128</definedName>
    <definedName name="_xlnm.Print_Titles" localSheetId="0">'2014-15'!$1:$4</definedName>
    <definedName name="_xlnm.Print_Titles" localSheetId="1">'2015-16'!$1:$4</definedName>
    <definedName name="_xlnm.Print_Titles" localSheetId="2">'2016-17'!$1:$4</definedName>
    <definedName name="_xlnm.Print_Titles" localSheetId="3">'2017-18'!$1:$4</definedName>
  </definedNames>
  <calcPr fullCalcOnLoad="1"/>
</workbook>
</file>

<file path=xl/comments1.xml><?xml version="1.0" encoding="utf-8"?>
<comments xmlns="http://schemas.openxmlformats.org/spreadsheetml/2006/main">
  <authors>
    <author>marie.molyneux</author>
  </authors>
  <commentList>
    <comment ref="E106" authorId="0">
      <text>
        <r>
          <rPr>
            <b/>
            <sz val="9"/>
            <rFont val="Tahoma"/>
            <family val="2"/>
          </rPr>
          <t>marie.molyneux:</t>
        </r>
        <r>
          <rPr>
            <sz val="9"/>
            <rFont val="Tahoma"/>
            <family val="2"/>
          </rPr>
          <t xml:space="preserve">
Have manually adjusted to lower by £159k as NK figures doesn’t include this.
</t>
        </r>
      </text>
    </comment>
  </commentList>
</comments>
</file>

<file path=xl/sharedStrings.xml><?xml version="1.0" encoding="utf-8"?>
<sst xmlns="http://schemas.openxmlformats.org/spreadsheetml/2006/main" count="488" uniqueCount="117">
  <si>
    <t>Transformation Projects</t>
  </si>
  <si>
    <t>Committees</t>
  </si>
  <si>
    <t>Election Services</t>
  </si>
  <si>
    <t>Below the line</t>
  </si>
  <si>
    <t>Contingencies</t>
  </si>
  <si>
    <t>General Fund Working Balances</t>
  </si>
  <si>
    <t>Transfer to / (from) General Fund Working Balances</t>
  </si>
  <si>
    <t>Net Budget Requirement</t>
  </si>
  <si>
    <t>Financed by</t>
  </si>
  <si>
    <t>Over / (Under) Allocated budget</t>
  </si>
  <si>
    <t>Corporate Accounts</t>
  </si>
  <si>
    <t>MTFP assumptions</t>
  </si>
  <si>
    <t>Establishment Realignment</t>
  </si>
  <si>
    <t>Total Expenditure Budget</t>
  </si>
  <si>
    <t>Communications</t>
  </si>
  <si>
    <t>Policy &amp; Partnerships</t>
  </si>
  <si>
    <t>Communities &amp; Neighbourhoods</t>
  </si>
  <si>
    <t>Community Housing Strategy</t>
  </si>
  <si>
    <t>Housing Needs</t>
  </si>
  <si>
    <t>Revenues</t>
  </si>
  <si>
    <t>Off Street Parking</t>
  </si>
  <si>
    <t>Waste &amp; Recycling Domestic</t>
  </si>
  <si>
    <t>Street Scenes</t>
  </si>
  <si>
    <t>Garages</t>
  </si>
  <si>
    <t>Local Overheads</t>
  </si>
  <si>
    <t>Direct Building Services Stores</t>
  </si>
  <si>
    <t>Pressures</t>
  </si>
  <si>
    <t>Efficiency Savings</t>
  </si>
  <si>
    <t>Invest to Save</t>
  </si>
  <si>
    <t>Fees &amp; Charges</t>
  </si>
  <si>
    <t>Service Reductions</t>
  </si>
  <si>
    <t>Finance</t>
  </si>
  <si>
    <t>Corporate Finance</t>
  </si>
  <si>
    <t>Accountancy</t>
  </si>
  <si>
    <t>Contractual Inflation</t>
  </si>
  <si>
    <t>Internal Audit</t>
  </si>
  <si>
    <t>Investigations</t>
  </si>
  <si>
    <t>Learning &amp; Development</t>
  </si>
  <si>
    <t>Payroll</t>
  </si>
  <si>
    <t>Customer Services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</si>
  <si>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</si>
  <si>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</si>
  <si>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</si>
  <si>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</si>
  <si>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</si>
  <si>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</si>
  <si>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Environmental Development</t>
  </si>
  <si>
    <t>Environmental Sustainability</t>
  </si>
  <si>
    <t>Legal Services</t>
  </si>
  <si>
    <t>Member Services</t>
  </si>
  <si>
    <t>Scrutiny</t>
  </si>
  <si>
    <t>Executive Support</t>
  </si>
  <si>
    <t>Culture</t>
  </si>
  <si>
    <t>Housing Benefit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</si>
  <si>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</si>
  <si>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</si>
  <si>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</si>
  <si>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</si>
  <si>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</si>
  <si>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</si>
  <si>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</si>
  <si>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Spatial Development</t>
  </si>
  <si>
    <t>Commercial Property</t>
  </si>
  <si>
    <t>Office Accomadation</t>
  </si>
  <si>
    <t>Property Maintainence</t>
  </si>
  <si>
    <t>Motor Transport</t>
  </si>
  <si>
    <t>Engineering</t>
  </si>
  <si>
    <t>Performance</t>
  </si>
  <si>
    <t>Support Services</t>
  </si>
  <si>
    <t>% Change</t>
  </si>
  <si>
    <t>Policy, Culture and Comms</t>
  </si>
  <si>
    <t>Total Portfolio Budget</t>
  </si>
  <si>
    <t>Oxford Sports Partnership</t>
  </si>
  <si>
    <t>Direct Services</t>
  </si>
  <si>
    <t>New Investment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</si>
  <si>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</si>
  <si>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</si>
  <si>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</si>
  <si>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</si>
  <si>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</si>
  <si>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</si>
  <si>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</t>
  </si>
  <si>
    <t>Health &amp; Safety</t>
  </si>
  <si>
    <t>Facilities Management</t>
  </si>
  <si>
    <t>Human Resources &amp; Facilities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</si>
  <si>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</si>
  <si>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</si>
  <si>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</si>
  <si>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</si>
  <si>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</si>
  <si>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Parks Management &amp; Administration</t>
  </si>
  <si>
    <t>Proposed Budget 2015/16</t>
  </si>
  <si>
    <t>Proposed Budget 2016/17</t>
  </si>
  <si>
    <t>Proposed Budget 2017/18</t>
  </si>
  <si>
    <t>Contracts &amp; Procurement</t>
  </si>
  <si>
    <t>Business Improvement &amp; Performance</t>
  </si>
  <si>
    <t>Environmental Health</t>
  </si>
  <si>
    <t>Environmental Protection</t>
  </si>
  <si>
    <t>ED Management</t>
  </si>
  <si>
    <t>Positive Futures</t>
  </si>
  <si>
    <t>Approved Budget 2013/14</t>
  </si>
  <si>
    <t>Structural Changes in 2013/14</t>
  </si>
  <si>
    <t>Regeneration &amp; Major Projects Team</t>
  </si>
  <si>
    <t xml:space="preserve">Housing &amp; Property </t>
  </si>
  <si>
    <t>Leisure, Parks &amp; Communities</t>
  </si>
  <si>
    <t>Business Development</t>
  </si>
  <si>
    <t>Property Services</t>
  </si>
  <si>
    <t>Recommended Budget 2014/15</t>
  </si>
  <si>
    <t>Revenue Support Grant</t>
  </si>
  <si>
    <t>Business Rates retention</t>
  </si>
  <si>
    <t>Council tax</t>
  </si>
  <si>
    <t>Less Parish Precept</t>
  </si>
  <si>
    <t>Collection Fund Surplus</t>
  </si>
  <si>
    <t>Oxford City Council’s Revenue Budget at Portfolio Level 2014-15             Appendix 2</t>
  </si>
  <si>
    <t>Oxford City Council’s Revenue Budget at Portfolio Level 2015-16      Appendix 2</t>
  </si>
  <si>
    <t>Oxford City Council’s Revenue Budget at Portfolio Level 2016-17       Appendix 2</t>
  </si>
  <si>
    <t>Oxford City Council’s Revenue Budget at Portfolio Level 2017-18       Appendix 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</si>
</sst>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  <numFmt numFmtId="182" formatCode="#,##0;[Red]\(#,##0\)"/>
    <numFmt numFmtId="183" formatCode="0%;[Red]\(0%\)"/>
    <numFmt numFmtId="184" formatCode="#,##0.000;[Red]\(#,##0.000\)"/>
    <numFmt numFmtId="185" formatCode="#,##0.0;[Red]#,##0.0"/>
    <numFmt numFmtId="186" formatCode="#,##0.000;[Red]#,##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171" fontId="1" fillId="33" borderId="13" xfId="0" applyNumberFormat="1" applyFont="1" applyFill="1" applyBorder="1" applyAlignment="1">
      <alignment vertical="top" wrapText="1"/>
    </xf>
    <xf numFmtId="171" fontId="1" fillId="0" borderId="13" xfId="0" applyNumberFormat="1" applyFont="1" applyFill="1" applyBorder="1" applyAlignment="1">
      <alignment vertical="top" wrapText="1"/>
    </xf>
    <xf numFmtId="171" fontId="1" fillId="0" borderId="13" xfId="0" applyNumberFormat="1" applyFont="1" applyBorder="1" applyAlignment="1">
      <alignment vertical="top" wrapText="1"/>
    </xf>
    <xf numFmtId="171" fontId="0" fillId="33" borderId="13" xfId="0" applyNumberFormat="1" applyFill="1" applyBorder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171" fontId="0" fillId="33" borderId="13" xfId="0" applyNumberFormat="1" applyFont="1" applyFill="1" applyBorder="1" applyAlignment="1">
      <alignment vertical="top" wrapText="1"/>
    </xf>
    <xf numFmtId="171" fontId="0" fillId="0" borderId="13" xfId="0" applyNumberFormat="1" applyFont="1" applyFill="1" applyBorder="1" applyAlignment="1">
      <alignment vertical="top" wrapText="1"/>
    </xf>
    <xf numFmtId="171" fontId="0" fillId="33" borderId="13" xfId="0" applyNumberFormat="1" applyFill="1" applyBorder="1" applyAlignment="1">
      <alignment vertical="top"/>
    </xf>
    <xf numFmtId="171" fontId="0" fillId="0" borderId="13" xfId="0" applyNumberFormat="1" applyBorder="1" applyAlignment="1">
      <alignment vertical="top"/>
    </xf>
    <xf numFmtId="0" fontId="1" fillId="0" borderId="14" xfId="0" applyFont="1" applyBorder="1" applyAlignment="1">
      <alignment horizontal="right" vertical="top" wrapText="1"/>
    </xf>
    <xf numFmtId="171" fontId="1" fillId="0" borderId="1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1" fontId="0" fillId="0" borderId="13" xfId="0" applyNumberFormat="1" applyFill="1" applyBorder="1" applyAlignment="1">
      <alignment vertical="top"/>
    </xf>
    <xf numFmtId="171" fontId="0" fillId="0" borderId="13" xfId="0" applyNumberFormat="1" applyFill="1" applyBorder="1" applyAlignment="1">
      <alignment vertical="top" wrapText="1"/>
    </xf>
    <xf numFmtId="171" fontId="0" fillId="34" borderId="0" xfId="0" applyNumberFormat="1" applyFont="1" applyFill="1" applyBorder="1" applyAlignment="1">
      <alignment vertical="top" wrapText="1"/>
    </xf>
    <xf numFmtId="171" fontId="6" fillId="33" borderId="13" xfId="0" applyNumberFormat="1" applyFont="1" applyFill="1" applyBorder="1" applyAlignment="1">
      <alignment vertical="top" wrapText="1"/>
    </xf>
    <xf numFmtId="171" fontId="6" fillId="0" borderId="13" xfId="0" applyNumberFormat="1" applyFont="1" applyFill="1" applyBorder="1" applyAlignment="1">
      <alignment vertical="top" wrapText="1"/>
    </xf>
    <xf numFmtId="183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71" fontId="6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171" fontId="1" fillId="33" borderId="0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vertical="top" wrapText="1"/>
    </xf>
    <xf numFmtId="171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71" fontId="0" fillId="0" borderId="0" xfId="0" applyNumberFormat="1" applyBorder="1" applyAlignment="1">
      <alignment vertical="top" wrapText="1"/>
    </xf>
    <xf numFmtId="183" fontId="0" fillId="0" borderId="0" xfId="59" applyNumberFormat="1" applyFont="1" applyFill="1" applyBorder="1" applyAlignment="1">
      <alignment horizontal="center" vertical="top"/>
    </xf>
    <xf numFmtId="171" fontId="0" fillId="33" borderId="0" xfId="0" applyNumberFormat="1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171" fontId="0" fillId="0" borderId="0" xfId="0" applyNumberFormat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0" fillId="0" borderId="0" xfId="0" applyNumberFormat="1" applyFill="1" applyBorder="1" applyAlignment="1">
      <alignment vertical="top" wrapText="1"/>
    </xf>
    <xf numFmtId="0" fontId="0" fillId="34" borderId="0" xfId="0" applyFill="1" applyBorder="1" applyAlignment="1">
      <alignment horizontal="right" vertical="top" wrapText="1"/>
    </xf>
    <xf numFmtId="0" fontId="0" fillId="34" borderId="0" xfId="0" applyFill="1" applyBorder="1" applyAlignment="1">
      <alignment vertical="top" wrapText="1"/>
    </xf>
    <xf numFmtId="183" fontId="0" fillId="0" borderId="0" xfId="0" applyNumberFormat="1" applyFont="1" applyFill="1" applyBorder="1" applyAlignment="1">
      <alignment vertical="top" wrapText="1"/>
    </xf>
    <xf numFmtId="171" fontId="1" fillId="34" borderId="0" xfId="0" applyNumberFormat="1" applyFont="1" applyFill="1" applyBorder="1" applyAlignment="1">
      <alignment vertical="top" wrapText="1"/>
    </xf>
    <xf numFmtId="183" fontId="1" fillId="0" borderId="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3" fontId="1" fillId="0" borderId="16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183" fontId="6" fillId="0" borderId="17" xfId="59" applyNumberFormat="1" applyFont="1" applyFill="1" applyBorder="1" applyAlignment="1">
      <alignment horizontal="center" vertical="top"/>
    </xf>
    <xf numFmtId="183" fontId="0" fillId="0" borderId="17" xfId="0" applyNumberFormat="1" applyFill="1" applyBorder="1" applyAlignment="1">
      <alignment horizontal="center" vertical="top"/>
    </xf>
    <xf numFmtId="183" fontId="1" fillId="0" borderId="17" xfId="59" applyNumberFormat="1" applyFont="1" applyFill="1" applyBorder="1" applyAlignment="1">
      <alignment horizontal="center" vertical="top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right" vertical="top" wrapText="1"/>
    </xf>
    <xf numFmtId="171" fontId="6" fillId="0" borderId="18" xfId="0" applyNumberFormat="1" applyFont="1" applyFill="1" applyBorder="1" applyAlignment="1">
      <alignment vertical="top" wrapText="1"/>
    </xf>
    <xf numFmtId="183" fontId="6" fillId="0" borderId="19" xfId="59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71" fontId="6" fillId="0" borderId="20" xfId="0" applyNumberFormat="1" applyFont="1" applyFill="1" applyBorder="1" applyAlignment="1">
      <alignment vertical="top" wrapText="1"/>
    </xf>
    <xf numFmtId="171" fontId="6" fillId="33" borderId="20" xfId="0" applyNumberFormat="1" applyFont="1" applyFill="1" applyBorder="1" applyAlignment="1">
      <alignment vertical="top" wrapText="1"/>
    </xf>
    <xf numFmtId="6" fontId="1" fillId="33" borderId="20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3" fontId="1" fillId="0" borderId="19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71" fontId="6" fillId="33" borderId="0" xfId="0" applyNumberFormat="1" applyFon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/>
    </xf>
    <xf numFmtId="0" fontId="6" fillId="34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  <xf numFmtId="171" fontId="0" fillId="34" borderId="0" xfId="0" applyNumberFormat="1" applyFill="1" applyBorder="1" applyAlignment="1">
      <alignment vertical="top" wrapText="1"/>
    </xf>
    <xf numFmtId="0" fontId="7" fillId="34" borderId="0" xfId="0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 horizontal="right" vertical="top"/>
    </xf>
    <xf numFmtId="0" fontId="1" fillId="33" borderId="15" xfId="0" applyFont="1" applyFill="1" applyBorder="1" applyAlignment="1">
      <alignment horizontal="center" vertical="top" wrapText="1"/>
    </xf>
    <xf numFmtId="183" fontId="1" fillId="0" borderId="17" xfId="0" applyNumberFormat="1" applyFont="1" applyFill="1" applyBorder="1" applyAlignment="1">
      <alignment horizontal="center" vertical="top" wrapText="1"/>
    </xf>
    <xf numFmtId="171" fontId="6" fillId="33" borderId="18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>
      <alignment horizontal="center" vertical="top" wrapText="1"/>
    </xf>
    <xf numFmtId="183" fontId="6" fillId="0" borderId="13" xfId="59" applyNumberFormat="1" applyFont="1" applyFill="1" applyBorder="1" applyAlignment="1">
      <alignment horizontal="center" vertical="top"/>
    </xf>
    <xf numFmtId="183" fontId="0" fillId="0" borderId="13" xfId="0" applyNumberFormat="1" applyFill="1" applyBorder="1" applyAlignment="1">
      <alignment horizontal="center" vertical="top"/>
    </xf>
    <xf numFmtId="183" fontId="1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6" fillId="0" borderId="20" xfId="59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right" vertical="top" wrapText="1"/>
    </xf>
    <xf numFmtId="6" fontId="1" fillId="33" borderId="13" xfId="0" applyNumberFormat="1" applyFont="1" applyFill="1" applyBorder="1" applyAlignment="1">
      <alignment horizontal="right" vertical="top" wrapText="1"/>
    </xf>
    <xf numFmtId="6" fontId="1" fillId="33" borderId="18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right" vertical="top" wrapText="1"/>
    </xf>
    <xf numFmtId="183" fontId="1" fillId="0" borderId="2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6" fontId="1" fillId="0" borderId="20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/>
    </xf>
    <xf numFmtId="171" fontId="0" fillId="33" borderId="17" xfId="0" applyNumberFormat="1" applyFill="1" applyBorder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 wrapText="1"/>
    </xf>
    <xf numFmtId="171" fontId="0" fillId="33" borderId="17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right"/>
    </xf>
    <xf numFmtId="171" fontId="0" fillId="33" borderId="11" xfId="0" applyNumberFormat="1" applyFont="1" applyFill="1" applyBorder="1" applyAlignment="1">
      <alignment vertical="top" wrapText="1"/>
    </xf>
    <xf numFmtId="171" fontId="0" fillId="0" borderId="11" xfId="0" applyNumberFormat="1" applyFont="1" applyFill="1" applyBorder="1" applyAlignment="1">
      <alignment vertical="top" wrapText="1"/>
    </xf>
    <xf numFmtId="171" fontId="0" fillId="33" borderId="11" xfId="0" applyNumberFormat="1" applyFill="1" applyBorder="1" applyAlignment="1">
      <alignment vertical="top" wrapText="1"/>
    </xf>
    <xf numFmtId="183" fontId="0" fillId="0" borderId="11" xfId="59" applyNumberFormat="1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171" fontId="1" fillId="33" borderId="17" xfId="0" applyNumberFormat="1" applyFont="1" applyFill="1" applyBorder="1" applyAlignment="1">
      <alignment vertical="top" wrapText="1"/>
    </xf>
    <xf numFmtId="171" fontId="1" fillId="33" borderId="11" xfId="0" applyNumberFormat="1" applyFont="1" applyFill="1" applyBorder="1" applyAlignment="1">
      <alignment vertical="top" wrapText="1"/>
    </xf>
    <xf numFmtId="183" fontId="1" fillId="0" borderId="11" xfId="59" applyNumberFormat="1" applyFont="1" applyFill="1" applyBorder="1" applyAlignment="1">
      <alignment horizontal="center" vertical="top"/>
    </xf>
    <xf numFmtId="183" fontId="0" fillId="0" borderId="11" xfId="59" applyNumberFormat="1" applyFont="1" applyFill="1" applyBorder="1" applyAlignment="1">
      <alignment horizontal="center" vertical="top"/>
    </xf>
    <xf numFmtId="171" fontId="6" fillId="0" borderId="19" xfId="0" applyNumberFormat="1" applyFont="1" applyFill="1" applyBorder="1" applyAlignment="1">
      <alignment vertical="top" wrapText="1"/>
    </xf>
    <xf numFmtId="6" fontId="1" fillId="0" borderId="13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7FFF7"/>
      <rgbColor rgb="00FFFF99"/>
      <rgbColor rgb="00EFF3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zoomScale="70" zoomScaleNormal="70" zoomScalePageLayoutView="0" workbookViewId="0" topLeftCell="A1">
      <pane xSplit="1" ySplit="4" topLeftCell="C53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O126" sqref="A1:O126"/>
    </sheetView>
  </sheetViews>
  <sheetFormatPr defaultColWidth="9.140625" defaultRowHeight="12.75" outlineLevelRow="1"/>
  <cols>
    <col min="1" max="1" width="60.00390625" style="40" bestFit="1" customWidth="1"/>
    <col min="2" max="2" width="20.140625" style="29" bestFit="1" customWidth="1"/>
    <col min="3" max="3" width="24.57421875" style="29" bestFit="1" customWidth="1"/>
    <col min="4" max="4" width="20.140625" style="29" bestFit="1" customWidth="1"/>
    <col min="5" max="5" width="15.28125" style="29" customWidth="1"/>
    <col min="6" max="6" width="16.7109375" style="29" hidden="1" customWidth="1"/>
    <col min="7" max="7" width="14.7109375" style="29" customWidth="1"/>
    <col min="8" max="11" width="12.7109375" style="29" customWidth="1"/>
    <col min="12" max="13" width="14.140625" style="29" customWidth="1"/>
    <col min="14" max="14" width="17.421875" style="29" customWidth="1"/>
    <col min="15" max="15" width="11.7109375" style="27" customWidth="1"/>
    <col min="16" max="16" width="1.57421875" style="29" customWidth="1"/>
    <col min="17" max="16384" width="9.140625" style="29" customWidth="1"/>
  </cols>
  <sheetData>
    <row r="1" spans="1:15" ht="27.75">
      <c r="A1" s="118" t="s">
        <v>113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6.75" customHeight="1">
      <c r="A3" s="18"/>
      <c r="B3" s="81" t="s">
        <v>100</v>
      </c>
      <c r="C3" s="49" t="s">
        <v>101</v>
      </c>
      <c r="D3" s="1" t="s">
        <v>100</v>
      </c>
      <c r="E3" s="49" t="s">
        <v>11</v>
      </c>
      <c r="F3" s="97" t="s">
        <v>12</v>
      </c>
      <c r="G3" s="62" t="s">
        <v>34</v>
      </c>
      <c r="H3" s="50" t="s">
        <v>26</v>
      </c>
      <c r="I3" s="62" t="s">
        <v>27</v>
      </c>
      <c r="J3" s="50" t="s">
        <v>28</v>
      </c>
      <c r="K3" s="62" t="s">
        <v>29</v>
      </c>
      <c r="L3" s="50" t="s">
        <v>30</v>
      </c>
      <c r="M3" s="62" t="s">
        <v>74</v>
      </c>
      <c r="N3" s="81" t="s">
        <v>107</v>
      </c>
      <c r="O3" s="84" t="s">
        <v>69</v>
      </c>
    </row>
    <row r="4" spans="1:15" ht="13.5" customHeight="1">
      <c r="A4" s="8"/>
      <c r="B4" s="93" t="s">
        <v>54</v>
      </c>
      <c r="C4" s="66" t="s">
        <v>54</v>
      </c>
      <c r="D4" s="65" t="s">
        <v>54</v>
      </c>
      <c r="E4" s="66" t="s">
        <v>54</v>
      </c>
      <c r="F4" s="98"/>
      <c r="G4" s="67" t="s">
        <v>54</v>
      </c>
      <c r="H4" s="66" t="s">
        <v>54</v>
      </c>
      <c r="I4" s="67" t="s">
        <v>54</v>
      </c>
      <c r="J4" s="66" t="s">
        <v>54</v>
      </c>
      <c r="K4" s="67" t="s">
        <v>54</v>
      </c>
      <c r="L4" s="66" t="s">
        <v>54</v>
      </c>
      <c r="M4" s="67" t="s">
        <v>54</v>
      </c>
      <c r="N4" s="94" t="s">
        <v>54</v>
      </c>
      <c r="O4" s="95"/>
    </row>
    <row r="5" spans="1:15" s="31" customFormat="1" ht="15.75">
      <c r="A5" s="52" t="s">
        <v>41</v>
      </c>
      <c r="B5" s="72">
        <f>+B7+B14+B20</f>
        <v>388.20099999999957</v>
      </c>
      <c r="C5" s="30">
        <f>+C7+C14+C20</f>
        <v>-21.462999999999994</v>
      </c>
      <c r="D5" s="25">
        <f>+D7+D14+D20</f>
        <v>366.7380000000012</v>
      </c>
      <c r="E5" s="30">
        <f>+E7+E14+E20</f>
        <v>0</v>
      </c>
      <c r="F5" s="26">
        <f>+F7+F14+F20</f>
        <v>0</v>
      </c>
      <c r="G5" s="26">
        <f aca="true" t="shared" si="0" ref="G5:M5">+G7+G14+G20</f>
        <v>0</v>
      </c>
      <c r="H5" s="30">
        <f t="shared" si="0"/>
        <v>147</v>
      </c>
      <c r="I5" s="26">
        <f t="shared" si="0"/>
        <v>-131</v>
      </c>
      <c r="J5" s="30">
        <f t="shared" si="0"/>
        <v>2</v>
      </c>
      <c r="K5" s="26">
        <f t="shared" si="0"/>
        <v>-613</v>
      </c>
      <c r="L5" s="30">
        <f t="shared" si="0"/>
        <v>-13</v>
      </c>
      <c r="M5" s="26">
        <f t="shared" si="0"/>
        <v>350</v>
      </c>
      <c r="N5" s="72">
        <f>+N7+N14+N20</f>
        <v>108.7380000000012</v>
      </c>
      <c r="O5" s="85">
        <f>+(N5-B5)/B5</f>
        <v>-0.7198925299007439</v>
      </c>
    </row>
    <row r="6" spans="1:15" ht="12.75">
      <c r="A6" s="5"/>
      <c r="B6" s="32"/>
      <c r="C6" s="33"/>
      <c r="D6" s="9"/>
      <c r="E6" s="33"/>
      <c r="F6" s="10"/>
      <c r="G6" s="10"/>
      <c r="H6" s="33"/>
      <c r="I6" s="10"/>
      <c r="J6" s="33"/>
      <c r="K6" s="10"/>
      <c r="L6" s="33"/>
      <c r="M6" s="10"/>
      <c r="N6" s="32"/>
      <c r="O6" s="86"/>
    </row>
    <row r="7" spans="1:15" ht="12.75">
      <c r="A7" s="5" t="s">
        <v>42</v>
      </c>
      <c r="B7" s="32">
        <f aca="true" t="shared" si="1" ref="B7:M7">+SUM(B8:B12)</f>
        <v>1638.7140000000002</v>
      </c>
      <c r="C7" s="34">
        <f>+SUM(C8:C12)</f>
        <v>-9.211</v>
      </c>
      <c r="D7" s="9">
        <f>+SUM(D8:D12)</f>
        <v>1629.5030000000002</v>
      </c>
      <c r="E7" s="34">
        <f>+SUM(E8:E12)</f>
        <v>0</v>
      </c>
      <c r="F7" s="11">
        <f>+SUM(F8:F12)</f>
        <v>0</v>
      </c>
      <c r="G7" s="11">
        <f t="shared" si="1"/>
        <v>0</v>
      </c>
      <c r="H7" s="34">
        <f t="shared" si="1"/>
        <v>90</v>
      </c>
      <c r="I7" s="11">
        <f t="shared" si="1"/>
        <v>-48</v>
      </c>
      <c r="J7" s="34">
        <f t="shared" si="1"/>
        <v>0</v>
      </c>
      <c r="K7" s="11">
        <f t="shared" si="1"/>
        <v>-71</v>
      </c>
      <c r="L7" s="34">
        <f t="shared" si="1"/>
        <v>-13</v>
      </c>
      <c r="M7" s="11">
        <f t="shared" si="1"/>
        <v>200</v>
      </c>
      <c r="N7" s="32">
        <f>+SUM(N8:N12)</f>
        <v>1787.5030000000002</v>
      </c>
      <c r="O7" s="87">
        <f aca="true" t="shared" si="2" ref="O7:O12">+(N7-B7)/B7</f>
        <v>0.09079619750609318</v>
      </c>
    </row>
    <row r="8" spans="1:15" ht="12.75">
      <c r="A8" s="2" t="s">
        <v>43</v>
      </c>
      <c r="B8" s="73">
        <v>25.566</v>
      </c>
      <c r="C8" s="36">
        <v>0</v>
      </c>
      <c r="D8" s="12">
        <f>B8+C8</f>
        <v>25.566</v>
      </c>
      <c r="E8" s="36"/>
      <c r="F8" s="13"/>
      <c r="G8" s="13"/>
      <c r="H8" s="36"/>
      <c r="I8" s="13"/>
      <c r="J8" s="36"/>
      <c r="K8" s="13"/>
      <c r="L8" s="36">
        <f>-13</f>
        <v>-13</v>
      </c>
      <c r="M8" s="13"/>
      <c r="N8" s="73">
        <f>+D8+SUM(E8:M8)</f>
        <v>12.565999999999999</v>
      </c>
      <c r="O8" s="88">
        <f t="shared" si="2"/>
        <v>-0.5084878354063992</v>
      </c>
    </row>
    <row r="9" spans="1:15" ht="12.75">
      <c r="A9" s="2" t="s">
        <v>44</v>
      </c>
      <c r="B9" s="73">
        <v>92.614</v>
      </c>
      <c r="C9" s="36">
        <v>-15.389</v>
      </c>
      <c r="D9" s="12">
        <f>B9+C9</f>
        <v>77.22500000000001</v>
      </c>
      <c r="E9" s="36"/>
      <c r="F9" s="13"/>
      <c r="G9" s="13"/>
      <c r="H9" s="36"/>
      <c r="I9" s="13"/>
      <c r="J9" s="36"/>
      <c r="K9" s="13"/>
      <c r="L9" s="36"/>
      <c r="M9" s="13"/>
      <c r="N9" s="73">
        <f>+D9+SUM(E9:M9)</f>
        <v>77.22500000000001</v>
      </c>
      <c r="O9" s="88">
        <f t="shared" si="2"/>
        <v>-0.1661627831645323</v>
      </c>
    </row>
    <row r="10" spans="1:15" ht="12.75">
      <c r="A10" s="2" t="s">
        <v>68</v>
      </c>
      <c r="B10" s="73">
        <v>512.2</v>
      </c>
      <c r="C10" s="36">
        <v>8.151</v>
      </c>
      <c r="D10" s="12">
        <f>B10+C10</f>
        <v>520.351</v>
      </c>
      <c r="E10" s="36"/>
      <c r="F10" s="13"/>
      <c r="G10" s="13"/>
      <c r="H10" s="36">
        <v>90</v>
      </c>
      <c r="I10" s="13">
        <f>-14+-14</f>
        <v>-28</v>
      </c>
      <c r="J10" s="36"/>
      <c r="K10" s="13"/>
      <c r="L10" s="36"/>
      <c r="M10" s="13"/>
      <c r="N10" s="73">
        <f>+D10+SUM(E10:M10)</f>
        <v>582.351</v>
      </c>
      <c r="O10" s="88">
        <f t="shared" si="2"/>
        <v>0.13696017180788744</v>
      </c>
    </row>
    <row r="11" spans="1:15" ht="12.75">
      <c r="A11" s="2" t="s">
        <v>45</v>
      </c>
      <c r="B11" s="73">
        <v>-31.374</v>
      </c>
      <c r="C11" s="36">
        <v>0</v>
      </c>
      <c r="D11" s="12">
        <f>B11+C11</f>
        <v>-31.374</v>
      </c>
      <c r="E11" s="36"/>
      <c r="F11" s="13"/>
      <c r="G11" s="13"/>
      <c r="H11" s="36"/>
      <c r="I11" s="13"/>
      <c r="J11" s="36"/>
      <c r="K11" s="13"/>
      <c r="L11" s="36"/>
      <c r="M11" s="13"/>
      <c r="N11" s="73">
        <f>+D11+SUM(E11:M11)</f>
        <v>-31.374</v>
      </c>
      <c r="O11" s="88">
        <f t="shared" si="2"/>
        <v>0</v>
      </c>
    </row>
    <row r="12" spans="1:15" ht="12.75">
      <c r="A12" s="2" t="s">
        <v>61</v>
      </c>
      <c r="B12" s="73">
        <v>1039.708</v>
      </c>
      <c r="C12" s="36">
        <v>-1.973</v>
      </c>
      <c r="D12" s="12">
        <f>B12+C12</f>
        <v>1037.7350000000001</v>
      </c>
      <c r="E12" s="36"/>
      <c r="F12" s="13"/>
      <c r="G12" s="13"/>
      <c r="H12" s="36"/>
      <c r="I12" s="13">
        <f>-5+-15</f>
        <v>-20</v>
      </c>
      <c r="J12" s="36"/>
      <c r="K12" s="13">
        <f>-5+-66</f>
        <v>-71</v>
      </c>
      <c r="L12" s="36"/>
      <c r="M12" s="13">
        <f>50+150</f>
        <v>200</v>
      </c>
      <c r="N12" s="73">
        <f>+D12+SUM(E12:M12)</f>
        <v>1146.7350000000001</v>
      </c>
      <c r="O12" s="88">
        <f t="shared" si="2"/>
        <v>0.1029394791614569</v>
      </c>
    </row>
    <row r="13" spans="1:15" ht="12.75">
      <c r="A13" s="5"/>
      <c r="B13" s="32"/>
      <c r="C13" s="33"/>
      <c r="D13" s="9"/>
      <c r="E13" s="33"/>
      <c r="F13" s="10"/>
      <c r="G13" s="10"/>
      <c r="H13" s="33"/>
      <c r="I13" s="10"/>
      <c r="J13" s="33"/>
      <c r="K13" s="10"/>
      <c r="L13" s="33"/>
      <c r="M13" s="10"/>
      <c r="N13" s="32"/>
      <c r="O13" s="86"/>
    </row>
    <row r="14" spans="1:15" ht="12.75">
      <c r="A14" s="7" t="s">
        <v>102</v>
      </c>
      <c r="B14" s="32">
        <f aca="true" t="shared" si="3" ref="B14:M14">+SUM(B15:B18)</f>
        <v>-4715.805</v>
      </c>
      <c r="C14" s="33">
        <f>+SUM(C15:C18)</f>
        <v>-87.43199999999999</v>
      </c>
      <c r="D14" s="9">
        <f>+SUM(D15:D18)</f>
        <v>-4803.236999999999</v>
      </c>
      <c r="E14" s="33">
        <f>+SUM(E15:E18)</f>
        <v>0</v>
      </c>
      <c r="F14" s="10">
        <f>+SUM(F15:F18)</f>
        <v>0</v>
      </c>
      <c r="G14" s="10">
        <f t="shared" si="3"/>
        <v>0</v>
      </c>
      <c r="H14" s="33">
        <f t="shared" si="3"/>
        <v>53</v>
      </c>
      <c r="I14" s="10">
        <f t="shared" si="3"/>
        <v>-30</v>
      </c>
      <c r="J14" s="33">
        <f t="shared" si="3"/>
        <v>2</v>
      </c>
      <c r="K14" s="10">
        <f t="shared" si="3"/>
        <v>-442</v>
      </c>
      <c r="L14" s="33">
        <f t="shared" si="3"/>
        <v>0</v>
      </c>
      <c r="M14" s="10">
        <f t="shared" si="3"/>
        <v>150</v>
      </c>
      <c r="N14" s="32">
        <f>+SUM(N15:N18)</f>
        <v>-5070.236999999999</v>
      </c>
      <c r="O14" s="87">
        <f>+(N14-B14)/B14</f>
        <v>0.07515832397650006</v>
      </c>
    </row>
    <row r="15" spans="1:15" ht="12.75">
      <c r="A15" s="4" t="s">
        <v>62</v>
      </c>
      <c r="B15" s="38">
        <v>-5805.926</v>
      </c>
      <c r="C15" s="39">
        <v>-89.583</v>
      </c>
      <c r="D15" s="12">
        <f>B15+C15</f>
        <v>-5895.509</v>
      </c>
      <c r="E15" s="39"/>
      <c r="F15" s="15"/>
      <c r="G15" s="15"/>
      <c r="H15" s="39">
        <v>3</v>
      </c>
      <c r="I15" s="15">
        <v>-30</v>
      </c>
      <c r="J15" s="39">
        <v>2</v>
      </c>
      <c r="K15" s="15">
        <f>-17+-365+-60</f>
        <v>-442</v>
      </c>
      <c r="L15" s="39"/>
      <c r="M15" s="15">
        <v>150</v>
      </c>
      <c r="N15" s="73">
        <f>+D15+SUM(E15:M15)</f>
        <v>-6212.509</v>
      </c>
      <c r="O15" s="88">
        <f>+(N15-B15)/B15</f>
        <v>0.07002896695548645</v>
      </c>
    </row>
    <row r="16" spans="1:15" ht="12.75">
      <c r="A16" s="4" t="s">
        <v>63</v>
      </c>
      <c r="B16" s="38">
        <v>479.877</v>
      </c>
      <c r="C16" s="39"/>
      <c r="D16" s="12">
        <f>B16+C16</f>
        <v>479.877</v>
      </c>
      <c r="E16" s="39"/>
      <c r="F16" s="15"/>
      <c r="G16" s="15"/>
      <c r="H16" s="39"/>
      <c r="I16" s="15"/>
      <c r="J16" s="39"/>
      <c r="K16" s="15"/>
      <c r="L16" s="39"/>
      <c r="M16" s="15"/>
      <c r="N16" s="73">
        <f>+D16+SUM(E16:M16)</f>
        <v>479.877</v>
      </c>
      <c r="O16" s="88">
        <f>+(N16-B16)/B16</f>
        <v>0</v>
      </c>
    </row>
    <row r="17" spans="1:15" ht="12.75">
      <c r="A17" s="4" t="s">
        <v>64</v>
      </c>
      <c r="B17" s="38">
        <v>306.045</v>
      </c>
      <c r="C17" s="39">
        <v>2.272</v>
      </c>
      <c r="D17" s="12">
        <f>B17+C17</f>
        <v>308.317</v>
      </c>
      <c r="E17" s="39"/>
      <c r="F17" s="15"/>
      <c r="G17" s="15"/>
      <c r="H17" s="39"/>
      <c r="I17" s="15"/>
      <c r="J17" s="39"/>
      <c r="K17" s="15"/>
      <c r="L17" s="39"/>
      <c r="M17" s="15"/>
      <c r="N17" s="73">
        <f>+D17+SUM(E17:M17)</f>
        <v>308.317</v>
      </c>
      <c r="O17" s="88">
        <f>+(N17-B17)/B17</f>
        <v>0.007423744874119791</v>
      </c>
    </row>
    <row r="18" spans="1:15" ht="12.75">
      <c r="A18" s="4" t="s">
        <v>68</v>
      </c>
      <c r="B18" s="38">
        <v>304.199</v>
      </c>
      <c r="C18" s="39">
        <f>0.518-0.639</f>
        <v>-0.121</v>
      </c>
      <c r="D18" s="12">
        <f>B18+C18</f>
        <v>304.07800000000003</v>
      </c>
      <c r="E18" s="39"/>
      <c r="F18" s="15"/>
      <c r="G18" s="15"/>
      <c r="H18" s="39">
        <v>50</v>
      </c>
      <c r="I18" s="15"/>
      <c r="J18" s="39"/>
      <c r="K18" s="15"/>
      <c r="L18" s="39"/>
      <c r="M18" s="15"/>
      <c r="N18" s="73">
        <f>+D18+SUM(E18:M18)</f>
        <v>354.07800000000003</v>
      </c>
      <c r="O18" s="88">
        <f>+(N18-B18)/B18</f>
        <v>0.16396832336726952</v>
      </c>
    </row>
    <row r="19" spans="1:15" ht="12.75">
      <c r="A19" s="6"/>
      <c r="B19" s="32"/>
      <c r="C19" s="33"/>
      <c r="D19" s="9"/>
      <c r="E19" s="33"/>
      <c r="F19" s="10"/>
      <c r="G19" s="10"/>
      <c r="H19" s="33"/>
      <c r="I19" s="10"/>
      <c r="J19" s="33"/>
      <c r="K19" s="10"/>
      <c r="L19" s="33"/>
      <c r="M19" s="10"/>
      <c r="N19" s="32"/>
      <c r="O19" s="86"/>
    </row>
    <row r="20" spans="1:15" ht="12.75">
      <c r="A20" s="7" t="s">
        <v>103</v>
      </c>
      <c r="B20" s="32">
        <f>+SUM(B21:B23)</f>
        <v>3465.292</v>
      </c>
      <c r="C20" s="33">
        <f>+SUM(C21:C23)</f>
        <v>75.17999999999999</v>
      </c>
      <c r="D20" s="9">
        <f>+SUM(D21:D23)</f>
        <v>3540.472</v>
      </c>
      <c r="E20" s="33">
        <f>+SUM(E21:E23)</f>
        <v>0</v>
      </c>
      <c r="F20" s="19">
        <f aca="true" t="shared" si="4" ref="F20:M20">+SUM(F21:F23)</f>
        <v>0</v>
      </c>
      <c r="G20" s="19">
        <f t="shared" si="4"/>
        <v>0</v>
      </c>
      <c r="H20" s="19">
        <f t="shared" si="4"/>
        <v>4</v>
      </c>
      <c r="I20" s="19">
        <f t="shared" si="4"/>
        <v>-53</v>
      </c>
      <c r="J20" s="19">
        <f t="shared" si="4"/>
        <v>0</v>
      </c>
      <c r="K20" s="19">
        <f t="shared" si="4"/>
        <v>-100</v>
      </c>
      <c r="L20" s="19">
        <f t="shared" si="4"/>
        <v>0</v>
      </c>
      <c r="M20" s="33">
        <f t="shared" si="4"/>
        <v>0</v>
      </c>
      <c r="N20" s="9">
        <f>+SUM(N21:N23)</f>
        <v>3391.472</v>
      </c>
      <c r="O20" s="87">
        <f>+(N20-B20)/B20</f>
        <v>-0.02130267810043128</v>
      </c>
    </row>
    <row r="21" spans="1:15" ht="12.75">
      <c r="A21" s="3" t="s">
        <v>17</v>
      </c>
      <c r="B21" s="38">
        <v>585.119</v>
      </c>
      <c r="C21" s="39">
        <v>80</v>
      </c>
      <c r="D21" s="12">
        <f>B21+C21</f>
        <v>665.119</v>
      </c>
      <c r="E21" s="39"/>
      <c r="F21" s="15"/>
      <c r="G21" s="15"/>
      <c r="H21" s="39"/>
      <c r="I21" s="15">
        <v>-5</v>
      </c>
      <c r="J21" s="39"/>
      <c r="K21" s="15"/>
      <c r="L21" s="39"/>
      <c r="M21" s="15"/>
      <c r="N21" s="73">
        <f>+D21+SUM(E21:M21)</f>
        <v>660.119</v>
      </c>
      <c r="O21" s="88">
        <f>+(N21-B21)/B21</f>
        <v>0.1281790541753045</v>
      </c>
    </row>
    <row r="22" spans="1:15" ht="12.75">
      <c r="A22" s="3" t="s">
        <v>18</v>
      </c>
      <c r="B22" s="38">
        <v>2872.687</v>
      </c>
      <c r="C22" s="39">
        <v>-5.459</v>
      </c>
      <c r="D22" s="12">
        <f>B22+C22</f>
        <v>2867.228</v>
      </c>
      <c r="E22" s="39"/>
      <c r="F22" s="15"/>
      <c r="G22" s="15"/>
      <c r="H22" s="39"/>
      <c r="I22" s="15">
        <f>-36+-10</f>
        <v>-46</v>
      </c>
      <c r="J22" s="39"/>
      <c r="K22" s="15"/>
      <c r="L22" s="39"/>
      <c r="M22" s="15"/>
      <c r="N22" s="73">
        <f>+D22+SUM(E22:M22)</f>
        <v>2821.228</v>
      </c>
      <c r="O22" s="88">
        <f>+(N22-B22)/B22</f>
        <v>-0.017913194162816844</v>
      </c>
    </row>
    <row r="23" spans="1:15" ht="12.75">
      <c r="A23" s="3" t="s">
        <v>106</v>
      </c>
      <c r="B23" s="38">
        <v>7.486</v>
      </c>
      <c r="C23" s="39">
        <v>0.639</v>
      </c>
      <c r="D23" s="12">
        <f>B23+C23</f>
        <v>8.125</v>
      </c>
      <c r="E23" s="39"/>
      <c r="F23" s="15"/>
      <c r="G23" s="15"/>
      <c r="H23" s="39">
        <v>4</v>
      </c>
      <c r="I23" s="15">
        <v>-2</v>
      </c>
      <c r="J23" s="39"/>
      <c r="K23" s="15">
        <v>-100</v>
      </c>
      <c r="L23" s="39"/>
      <c r="M23" s="15"/>
      <c r="N23" s="73">
        <f>+D23+SUM(E23:M23)</f>
        <v>-89.875</v>
      </c>
      <c r="O23" s="88">
        <f>+(N23-B23)/B23</f>
        <v>-13.0057440555704</v>
      </c>
    </row>
    <row r="24" spans="1:15" ht="12.75">
      <c r="A24" s="5"/>
      <c r="B24" s="32"/>
      <c r="C24" s="33"/>
      <c r="D24" s="9"/>
      <c r="E24" s="33"/>
      <c r="F24" s="10"/>
      <c r="G24" s="10"/>
      <c r="H24" s="33"/>
      <c r="I24" s="10"/>
      <c r="J24" s="33"/>
      <c r="K24" s="10"/>
      <c r="L24" s="33"/>
      <c r="M24" s="10"/>
      <c r="N24" s="32"/>
      <c r="O24" s="86"/>
    </row>
    <row r="25" spans="1:15" s="31" customFormat="1" ht="31.5">
      <c r="A25" s="57" t="s">
        <v>75</v>
      </c>
      <c r="B25" s="72">
        <f aca="true" t="shared" si="5" ref="B25:N25">+B27+B34+B41+B48+B55</f>
        <v>5015.642</v>
      </c>
      <c r="C25" s="30">
        <f t="shared" si="5"/>
        <v>-20.218899999999998</v>
      </c>
      <c r="D25" s="25">
        <f t="shared" si="5"/>
        <v>4995.4231</v>
      </c>
      <c r="E25" s="30">
        <f t="shared" si="5"/>
        <v>0</v>
      </c>
      <c r="F25" s="26">
        <f t="shared" si="5"/>
        <v>0</v>
      </c>
      <c r="G25" s="26">
        <f t="shared" si="5"/>
        <v>91</v>
      </c>
      <c r="H25" s="30">
        <f t="shared" si="5"/>
        <v>245</v>
      </c>
      <c r="I25" s="26">
        <f t="shared" si="5"/>
        <v>-147</v>
      </c>
      <c r="J25" s="30">
        <f t="shared" si="5"/>
        <v>33</v>
      </c>
      <c r="K25" s="26">
        <f t="shared" si="5"/>
        <v>-39</v>
      </c>
      <c r="L25" s="30">
        <f t="shared" si="5"/>
        <v>-55</v>
      </c>
      <c r="M25" s="26">
        <f t="shared" si="5"/>
        <v>65</v>
      </c>
      <c r="N25" s="72">
        <f t="shared" si="5"/>
        <v>5188.4231</v>
      </c>
      <c r="O25" s="85">
        <f>+(N25-B25)/B25</f>
        <v>0.03444845146443868</v>
      </c>
    </row>
    <row r="26" spans="1:15" ht="12.75">
      <c r="A26" s="5"/>
      <c r="B26" s="32"/>
      <c r="C26" s="33"/>
      <c r="D26" s="9"/>
      <c r="E26" s="33"/>
      <c r="F26" s="10"/>
      <c r="G26" s="10"/>
      <c r="H26" s="33"/>
      <c r="I26" s="10"/>
      <c r="J26" s="33"/>
      <c r="K26" s="10"/>
      <c r="L26" s="33"/>
      <c r="M26" s="10"/>
      <c r="N26" s="73"/>
      <c r="O26" s="86"/>
    </row>
    <row r="27" spans="1:15" ht="12.75">
      <c r="A27" s="5" t="s">
        <v>31</v>
      </c>
      <c r="B27" s="32">
        <f aca="true" t="shared" si="6" ref="B27:N27">+SUM(B28:B32)</f>
        <v>261.736</v>
      </c>
      <c r="C27" s="34">
        <f t="shared" si="6"/>
        <v>0.0040000000000000036</v>
      </c>
      <c r="D27" s="9">
        <f t="shared" si="6"/>
        <v>261.74</v>
      </c>
      <c r="E27" s="34">
        <f t="shared" si="6"/>
        <v>0</v>
      </c>
      <c r="F27" s="11">
        <f t="shared" si="6"/>
        <v>0</v>
      </c>
      <c r="G27" s="11">
        <f t="shared" si="6"/>
        <v>0</v>
      </c>
      <c r="H27" s="34">
        <f t="shared" si="6"/>
        <v>0</v>
      </c>
      <c r="I27" s="11">
        <f t="shared" si="6"/>
        <v>-29</v>
      </c>
      <c r="J27" s="34">
        <f t="shared" si="6"/>
        <v>0</v>
      </c>
      <c r="K27" s="11">
        <f t="shared" si="6"/>
        <v>0</v>
      </c>
      <c r="L27" s="34">
        <f t="shared" si="6"/>
        <v>0</v>
      </c>
      <c r="M27" s="11">
        <f t="shared" si="6"/>
        <v>0</v>
      </c>
      <c r="N27" s="32">
        <f t="shared" si="6"/>
        <v>232.74</v>
      </c>
      <c r="O27" s="87">
        <f aca="true" t="shared" si="7" ref="O27:O32">+(N27-B27)/B27</f>
        <v>-0.11078338478466845</v>
      </c>
    </row>
    <row r="28" spans="1:15" ht="12.75">
      <c r="A28" s="2" t="s">
        <v>33</v>
      </c>
      <c r="B28" s="38">
        <v>16.437</v>
      </c>
      <c r="C28" s="39">
        <v>6</v>
      </c>
      <c r="D28" s="12">
        <f>B28+C28</f>
        <v>22.437</v>
      </c>
      <c r="E28" s="39"/>
      <c r="F28" s="15"/>
      <c r="G28" s="15"/>
      <c r="H28" s="39"/>
      <c r="I28" s="15"/>
      <c r="J28" s="39"/>
      <c r="K28" s="15"/>
      <c r="L28" s="39"/>
      <c r="M28" s="15"/>
      <c r="N28" s="73">
        <f>+D28+SUM(E28:M28)</f>
        <v>22.437</v>
      </c>
      <c r="O28" s="88">
        <f t="shared" si="7"/>
        <v>0.3650301149844862</v>
      </c>
    </row>
    <row r="29" spans="1:15" ht="12.75">
      <c r="A29" s="2" t="s">
        <v>35</v>
      </c>
      <c r="B29" s="38">
        <v>0.03</v>
      </c>
      <c r="C29" s="39"/>
      <c r="D29" s="12">
        <f>B29+C29</f>
        <v>0.03</v>
      </c>
      <c r="E29" s="39"/>
      <c r="F29" s="15"/>
      <c r="G29" s="15"/>
      <c r="H29" s="39"/>
      <c r="I29" s="15"/>
      <c r="J29" s="39"/>
      <c r="K29" s="15"/>
      <c r="L29" s="39"/>
      <c r="M29" s="15"/>
      <c r="N29" s="73">
        <f>+D29+SUM(E29:M29)</f>
        <v>0.03</v>
      </c>
      <c r="O29" s="88">
        <f t="shared" si="7"/>
        <v>0</v>
      </c>
    </row>
    <row r="30" spans="1:15" ht="12.75">
      <c r="A30" s="2" t="s">
        <v>32</v>
      </c>
      <c r="B30" s="38">
        <v>63.817</v>
      </c>
      <c r="C30" s="39">
        <v>-3.5</v>
      </c>
      <c r="D30" s="12">
        <f>B30+C30</f>
        <v>60.317</v>
      </c>
      <c r="E30" s="39"/>
      <c r="F30" s="15"/>
      <c r="G30" s="15"/>
      <c r="H30" s="39"/>
      <c r="I30" s="15">
        <v>-4</v>
      </c>
      <c r="J30" s="39"/>
      <c r="K30" s="15"/>
      <c r="L30" s="39"/>
      <c r="M30" s="15"/>
      <c r="N30" s="73">
        <f>+D30+SUM(E30:M30)</f>
        <v>56.317</v>
      </c>
      <c r="O30" s="88">
        <f t="shared" si="7"/>
        <v>-0.11752354388329128</v>
      </c>
    </row>
    <row r="31" spans="1:15" ht="12.75">
      <c r="A31" s="2" t="s">
        <v>36</v>
      </c>
      <c r="B31" s="38">
        <v>174.015</v>
      </c>
      <c r="C31" s="39">
        <v>-2.496</v>
      </c>
      <c r="D31" s="12">
        <f>B31+C31</f>
        <v>171.51899999999998</v>
      </c>
      <c r="E31" s="39"/>
      <c r="F31" s="15"/>
      <c r="G31" s="15"/>
      <c r="H31" s="39"/>
      <c r="I31" s="15"/>
      <c r="J31" s="39"/>
      <c r="K31" s="15"/>
      <c r="L31" s="39"/>
      <c r="M31" s="15"/>
      <c r="N31" s="73">
        <f>+D31+SUM(E31:M31)</f>
        <v>171.51899999999998</v>
      </c>
      <c r="O31" s="88">
        <f t="shared" si="7"/>
        <v>-0.014343591069735422</v>
      </c>
    </row>
    <row r="32" spans="1:15" ht="12.75">
      <c r="A32" s="2" t="s">
        <v>19</v>
      </c>
      <c r="B32" s="38">
        <v>7.437</v>
      </c>
      <c r="C32" s="39"/>
      <c r="D32" s="12">
        <f>B32+C32</f>
        <v>7.437</v>
      </c>
      <c r="E32" s="39"/>
      <c r="F32" s="15"/>
      <c r="G32" s="15"/>
      <c r="H32" s="39"/>
      <c r="I32" s="15">
        <v>-25</v>
      </c>
      <c r="J32" s="39"/>
      <c r="K32" s="15"/>
      <c r="L32" s="39"/>
      <c r="M32" s="15"/>
      <c r="N32" s="73">
        <f>+D32+SUM(E32:M32)</f>
        <v>-17.563</v>
      </c>
      <c r="O32" s="88">
        <f t="shared" si="7"/>
        <v>-3.36157052574963</v>
      </c>
    </row>
    <row r="33" spans="1:15" ht="12.75">
      <c r="A33" s="2"/>
      <c r="B33" s="38"/>
      <c r="C33" s="39"/>
      <c r="D33" s="14"/>
      <c r="E33" s="39"/>
      <c r="F33" s="15"/>
      <c r="G33" s="15"/>
      <c r="H33" s="39"/>
      <c r="I33" s="15"/>
      <c r="J33" s="39"/>
      <c r="K33" s="15"/>
      <c r="L33" s="39"/>
      <c r="M33" s="15"/>
      <c r="N33" s="73"/>
      <c r="O33" s="88"/>
    </row>
    <row r="34" spans="1:15" ht="15" customHeight="1">
      <c r="A34" s="5" t="s">
        <v>76</v>
      </c>
      <c r="B34" s="32">
        <f aca="true" t="shared" si="8" ref="B34:G34">SUM(B35:B39)</f>
        <v>702.971</v>
      </c>
      <c r="C34" s="33">
        <f t="shared" si="8"/>
        <v>60.9251</v>
      </c>
      <c r="D34" s="9">
        <f t="shared" si="8"/>
        <v>763.8960999999999</v>
      </c>
      <c r="E34" s="33">
        <f t="shared" si="8"/>
        <v>0</v>
      </c>
      <c r="F34" s="10">
        <f t="shared" si="8"/>
        <v>0</v>
      </c>
      <c r="G34" s="10">
        <f t="shared" si="8"/>
        <v>91</v>
      </c>
      <c r="H34" s="33">
        <f aca="true" t="shared" si="9" ref="H34:N34">SUM(H35:H39)</f>
        <v>10</v>
      </c>
      <c r="I34" s="10">
        <f t="shared" si="9"/>
        <v>-88</v>
      </c>
      <c r="J34" s="33">
        <f t="shared" si="9"/>
        <v>0</v>
      </c>
      <c r="K34" s="10">
        <f t="shared" si="9"/>
        <v>0</v>
      </c>
      <c r="L34" s="33">
        <f t="shared" si="9"/>
        <v>0</v>
      </c>
      <c r="M34" s="10">
        <f t="shared" si="9"/>
        <v>0</v>
      </c>
      <c r="N34" s="32">
        <f t="shared" si="9"/>
        <v>776.8960999999999</v>
      </c>
      <c r="O34" s="87">
        <f aca="true" t="shared" si="10" ref="O34:O39">+(N34-B34)/B34</f>
        <v>0.10516095258552619</v>
      </c>
    </row>
    <row r="35" spans="1:15" ht="12.75">
      <c r="A35" s="99" t="s">
        <v>94</v>
      </c>
      <c r="B35" s="38">
        <v>44.109</v>
      </c>
      <c r="C35" s="39"/>
      <c r="D35" s="12">
        <f>B35+C35</f>
        <v>44.109</v>
      </c>
      <c r="E35" s="39"/>
      <c r="F35" s="15"/>
      <c r="G35" s="15"/>
      <c r="H35" s="39"/>
      <c r="I35" s="15">
        <f>-30+-1+-5</f>
        <v>-36</v>
      </c>
      <c r="J35" s="39"/>
      <c r="K35" s="15"/>
      <c r="L35" s="39"/>
      <c r="M35" s="15"/>
      <c r="N35" s="73">
        <f>+D35+SUM(E35:M35)</f>
        <v>8.109000000000002</v>
      </c>
      <c r="O35" s="88">
        <f t="shared" si="10"/>
        <v>-0.8161599673536013</v>
      </c>
    </row>
    <row r="36" spans="1:15" ht="12.75">
      <c r="A36" s="99" t="s">
        <v>0</v>
      </c>
      <c r="B36" s="38">
        <v>384.131</v>
      </c>
      <c r="C36" s="39">
        <v>1.303</v>
      </c>
      <c r="D36" s="12">
        <f>B36+C36</f>
        <v>385.43399999999997</v>
      </c>
      <c r="E36" s="39"/>
      <c r="F36" s="15"/>
      <c r="G36" s="15"/>
      <c r="H36" s="39"/>
      <c r="I36" s="15"/>
      <c r="J36" s="39"/>
      <c r="K36" s="15"/>
      <c r="L36" s="39"/>
      <c r="M36" s="15"/>
      <c r="N36" s="73">
        <f>+D36+SUM(E36:M36)</f>
        <v>385.43399999999997</v>
      </c>
      <c r="O36" s="88">
        <f t="shared" si="10"/>
        <v>0.00339207197544587</v>
      </c>
    </row>
    <row r="37" spans="1:15" ht="12.75">
      <c r="A37" s="20" t="s">
        <v>67</v>
      </c>
      <c r="B37" s="38">
        <v>-89.394</v>
      </c>
      <c r="C37" s="39">
        <v>-1.354</v>
      </c>
      <c r="D37" s="12">
        <f>B37+C37</f>
        <v>-90.748</v>
      </c>
      <c r="E37" s="39"/>
      <c r="F37" s="15"/>
      <c r="G37" s="15"/>
      <c r="H37" s="39"/>
      <c r="I37" s="15"/>
      <c r="J37" s="39"/>
      <c r="K37" s="15"/>
      <c r="L37" s="39"/>
      <c r="M37" s="15"/>
      <c r="N37" s="73">
        <f>+D37+SUM(E37:M37)</f>
        <v>-90.748</v>
      </c>
      <c r="O37" s="88">
        <f t="shared" si="10"/>
        <v>0.015146430409199713</v>
      </c>
    </row>
    <row r="38" spans="1:15" ht="12.75">
      <c r="A38" s="99" t="s">
        <v>95</v>
      </c>
      <c r="B38" s="38">
        <v>54.111</v>
      </c>
      <c r="C38" s="39">
        <v>0.0731</v>
      </c>
      <c r="D38" s="12">
        <f>B38+C38</f>
        <v>54.184099999999994</v>
      </c>
      <c r="E38" s="39"/>
      <c r="F38" s="15"/>
      <c r="G38" s="15"/>
      <c r="H38" s="39"/>
      <c r="I38" s="15"/>
      <c r="J38" s="39"/>
      <c r="K38" s="15"/>
      <c r="L38" s="39"/>
      <c r="M38" s="15"/>
      <c r="N38" s="73">
        <f>+D38+SUM(E38:M38)</f>
        <v>54.184099999999994</v>
      </c>
      <c r="O38" s="88">
        <f t="shared" si="10"/>
        <v>0.0013509267986175938</v>
      </c>
    </row>
    <row r="39" spans="1:15" ht="12.75">
      <c r="A39" s="3" t="s">
        <v>77</v>
      </c>
      <c r="B39" s="38">
        <v>310.014</v>
      </c>
      <c r="C39" s="39">
        <v>60.903</v>
      </c>
      <c r="D39" s="12">
        <f>B39+C39</f>
        <v>370.91700000000003</v>
      </c>
      <c r="E39" s="39"/>
      <c r="F39" s="15"/>
      <c r="G39" s="15">
        <f>65+26</f>
        <v>91</v>
      </c>
      <c r="H39" s="39">
        <v>10</v>
      </c>
      <c r="I39" s="15">
        <f>-2+-50</f>
        <v>-52</v>
      </c>
      <c r="J39" s="39"/>
      <c r="K39" s="15"/>
      <c r="L39" s="39"/>
      <c r="M39" s="15"/>
      <c r="N39" s="73">
        <f>+D39+SUM(E39:M39)</f>
        <v>419.91700000000003</v>
      </c>
      <c r="O39" s="88">
        <f t="shared" si="10"/>
        <v>0.3545097963317786</v>
      </c>
    </row>
    <row r="40" spans="1:15" ht="12.75">
      <c r="A40" s="20"/>
      <c r="B40" s="38"/>
      <c r="C40" s="39"/>
      <c r="D40" s="14"/>
      <c r="E40" s="39"/>
      <c r="F40" s="15"/>
      <c r="G40" s="15"/>
      <c r="H40" s="39"/>
      <c r="I40" s="15"/>
      <c r="J40" s="39"/>
      <c r="K40" s="15"/>
      <c r="L40" s="39"/>
      <c r="M40" s="15"/>
      <c r="N40" s="73"/>
      <c r="O40" s="88"/>
    </row>
    <row r="41" spans="1:15" ht="12.75">
      <c r="A41" s="5" t="s">
        <v>39</v>
      </c>
      <c r="B41" s="32">
        <f>+SUM(B42:B46)</f>
        <v>3405.957</v>
      </c>
      <c r="C41" s="33">
        <f>+SUM(C42:C46)</f>
        <v>0</v>
      </c>
      <c r="D41" s="9">
        <f>+SUM(D42:D46)</f>
        <v>3405.957</v>
      </c>
      <c r="E41" s="33">
        <f>+SUM(E42:E46)</f>
        <v>0</v>
      </c>
      <c r="F41" s="10">
        <f>+SUM(F42:F46)</f>
        <v>0</v>
      </c>
      <c r="G41" s="10">
        <f aca="true" t="shared" si="11" ref="G41:N41">+SUM(G42:G46)</f>
        <v>0</v>
      </c>
      <c r="H41" s="33">
        <f t="shared" si="11"/>
        <v>85</v>
      </c>
      <c r="I41" s="10">
        <f t="shared" si="11"/>
        <v>-25</v>
      </c>
      <c r="J41" s="33">
        <f t="shared" si="11"/>
        <v>43</v>
      </c>
      <c r="K41" s="10">
        <f t="shared" si="11"/>
        <v>-14</v>
      </c>
      <c r="L41" s="33">
        <f t="shared" si="11"/>
        <v>0</v>
      </c>
      <c r="M41" s="10">
        <f t="shared" si="11"/>
        <v>35</v>
      </c>
      <c r="N41" s="32">
        <f t="shared" si="11"/>
        <v>3529.957</v>
      </c>
      <c r="O41" s="87">
        <f aca="true" t="shared" si="12" ref="O41:O46">+(N41-B41)/B41</f>
        <v>0.03640680137770383</v>
      </c>
    </row>
    <row r="42" spans="1:15" ht="12.75">
      <c r="A42" s="3" t="s">
        <v>78</v>
      </c>
      <c r="B42" s="38">
        <v>50.015</v>
      </c>
      <c r="C42" s="39"/>
      <c r="D42" s="12">
        <f>B42+C42</f>
        <v>50.015</v>
      </c>
      <c r="E42" s="39"/>
      <c r="F42" s="15"/>
      <c r="G42" s="15"/>
      <c r="H42" s="39"/>
      <c r="I42" s="15"/>
      <c r="J42" s="39">
        <v>-20</v>
      </c>
      <c r="K42" s="15"/>
      <c r="L42" s="39"/>
      <c r="M42" s="15"/>
      <c r="N42" s="73">
        <f>+D42+SUM(E42:M42)</f>
        <v>30.015</v>
      </c>
      <c r="O42" s="88">
        <f t="shared" si="12"/>
        <v>-0.39988003598920324</v>
      </c>
    </row>
    <row r="43" spans="1:15" ht="12.75">
      <c r="A43" s="3" t="s">
        <v>79</v>
      </c>
      <c r="B43" s="38">
        <v>37.317</v>
      </c>
      <c r="C43" s="39"/>
      <c r="D43" s="12">
        <f>B43+C43</f>
        <v>37.317</v>
      </c>
      <c r="E43" s="39"/>
      <c r="F43" s="15"/>
      <c r="G43" s="15"/>
      <c r="H43" s="39"/>
      <c r="I43" s="15">
        <v>-25</v>
      </c>
      <c r="J43" s="39"/>
      <c r="K43" s="15"/>
      <c r="L43" s="39"/>
      <c r="M43" s="15">
        <v>35</v>
      </c>
      <c r="N43" s="73">
        <f>+D43+SUM(E43:M43)</f>
        <v>47.317</v>
      </c>
      <c r="O43" s="88">
        <f t="shared" si="12"/>
        <v>0.26797438164911436</v>
      </c>
    </row>
    <row r="44" spans="1:15" ht="12.75">
      <c r="A44" s="3" t="s">
        <v>19</v>
      </c>
      <c r="B44" s="38">
        <f>1113.898+-0.237</f>
        <v>1113.6609999999998</v>
      </c>
      <c r="C44" s="39"/>
      <c r="D44" s="12">
        <f>B44+C44</f>
        <v>1113.6609999999998</v>
      </c>
      <c r="E44" s="39"/>
      <c r="F44" s="15"/>
      <c r="G44" s="15"/>
      <c r="H44" s="39"/>
      <c r="I44" s="15"/>
      <c r="J44" s="39">
        <f>25+38</f>
        <v>63</v>
      </c>
      <c r="K44" s="15">
        <v>-14</v>
      </c>
      <c r="L44" s="39"/>
      <c r="M44" s="15"/>
      <c r="N44" s="73">
        <f>+D44+SUM(E44:M44)</f>
        <v>1162.6609999999998</v>
      </c>
      <c r="O44" s="88">
        <f t="shared" si="12"/>
        <v>0.04399902663377815</v>
      </c>
    </row>
    <row r="45" spans="1:15" ht="12.75">
      <c r="A45" s="3" t="s">
        <v>53</v>
      </c>
      <c r="B45" s="38">
        <v>2205.114</v>
      </c>
      <c r="C45" s="39"/>
      <c r="D45" s="12">
        <f>B45+C45</f>
        <v>2205.114</v>
      </c>
      <c r="E45" s="39"/>
      <c r="F45" s="15"/>
      <c r="G45" s="15"/>
      <c r="H45" s="39">
        <v>85</v>
      </c>
      <c r="I45" s="15"/>
      <c r="J45" s="39"/>
      <c r="K45" s="15"/>
      <c r="L45" s="39"/>
      <c r="M45" s="15"/>
      <c r="N45" s="73">
        <f>+D45+SUM(E45:M45)</f>
        <v>2290.114</v>
      </c>
      <c r="O45" s="88">
        <f t="shared" si="12"/>
        <v>0.0385467599407559</v>
      </c>
    </row>
    <row r="46" spans="1:15" ht="12.75">
      <c r="A46" s="3" t="s">
        <v>80</v>
      </c>
      <c r="B46" s="38">
        <v>-0.15</v>
      </c>
      <c r="C46" s="39"/>
      <c r="D46" s="12">
        <f>B46+C46</f>
        <v>-0.15</v>
      </c>
      <c r="E46" s="39"/>
      <c r="F46" s="15"/>
      <c r="G46" s="15"/>
      <c r="H46" s="39"/>
      <c r="I46" s="15"/>
      <c r="J46" s="39"/>
      <c r="K46" s="15"/>
      <c r="L46" s="39"/>
      <c r="M46" s="15"/>
      <c r="N46" s="73">
        <f>+D46+SUM(E46:M46)</f>
        <v>-0.15</v>
      </c>
      <c r="O46" s="88">
        <f t="shared" si="12"/>
        <v>0</v>
      </c>
    </row>
    <row r="47" spans="1:16" ht="12.75">
      <c r="A47" s="20"/>
      <c r="B47" s="38"/>
      <c r="C47" s="39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7"/>
      <c r="O47" s="108"/>
      <c r="P47" s="109"/>
    </row>
    <row r="48" spans="1:15" ht="17.25" customHeight="1">
      <c r="A48" s="5" t="s">
        <v>84</v>
      </c>
      <c r="B48" s="32">
        <f aca="true" t="shared" si="13" ref="B48:G48">+SUM(B49:B53)</f>
        <v>292.966</v>
      </c>
      <c r="C48" s="34">
        <f t="shared" si="13"/>
        <v>-80.478</v>
      </c>
      <c r="D48" s="9">
        <f t="shared" si="13"/>
        <v>212.488</v>
      </c>
      <c r="E48" s="34">
        <f t="shared" si="13"/>
        <v>0</v>
      </c>
      <c r="F48" s="11">
        <f t="shared" si="13"/>
        <v>0</v>
      </c>
      <c r="G48" s="11">
        <f t="shared" si="13"/>
        <v>0</v>
      </c>
      <c r="H48" s="34">
        <f aca="true" t="shared" si="14" ref="H48:N48">+SUM(H49:H53)</f>
        <v>100</v>
      </c>
      <c r="I48" s="11">
        <f t="shared" si="14"/>
        <v>-2</v>
      </c>
      <c r="J48" s="34">
        <f t="shared" si="14"/>
        <v>-10</v>
      </c>
      <c r="K48" s="11">
        <f t="shared" si="14"/>
        <v>-20</v>
      </c>
      <c r="L48" s="34">
        <f t="shared" si="14"/>
        <v>-55</v>
      </c>
      <c r="M48" s="11">
        <f t="shared" si="14"/>
        <v>30</v>
      </c>
      <c r="N48" s="32">
        <f t="shared" si="14"/>
        <v>255.488</v>
      </c>
      <c r="O48" s="87">
        <f aca="true" t="shared" si="15" ref="O48:O53">+(N48-B48)/B48</f>
        <v>-0.12792610746639543</v>
      </c>
    </row>
    <row r="49" spans="1:15" ht="12.75">
      <c r="A49" s="2" t="s">
        <v>81</v>
      </c>
      <c r="B49" s="38">
        <v>219.356</v>
      </c>
      <c r="C49" s="39">
        <v>-50.139</v>
      </c>
      <c r="D49" s="12">
        <f>B49+C49</f>
        <v>169.21699999999998</v>
      </c>
      <c r="E49" s="39"/>
      <c r="F49" s="15"/>
      <c r="G49" s="15"/>
      <c r="H49" s="39">
        <v>-25</v>
      </c>
      <c r="I49" s="15"/>
      <c r="J49" s="39"/>
      <c r="K49" s="15">
        <v>-20</v>
      </c>
      <c r="L49" s="39"/>
      <c r="M49" s="15">
        <v>5</v>
      </c>
      <c r="N49" s="73">
        <f>+D49+SUM(E49:M49)</f>
        <v>129.21699999999998</v>
      </c>
      <c r="O49" s="88">
        <f t="shared" si="15"/>
        <v>-0.4109256186290779</v>
      </c>
    </row>
    <row r="50" spans="1:15" ht="12.75">
      <c r="A50" s="2" t="s">
        <v>82</v>
      </c>
      <c r="B50" s="38">
        <v>0.04</v>
      </c>
      <c r="C50" s="39"/>
      <c r="D50" s="12">
        <f>B50+C50</f>
        <v>0.04</v>
      </c>
      <c r="E50" s="39"/>
      <c r="F50" s="15"/>
      <c r="G50" s="15"/>
      <c r="H50" s="39"/>
      <c r="I50" s="15"/>
      <c r="J50" s="39"/>
      <c r="K50" s="15"/>
      <c r="L50" s="39"/>
      <c r="M50" s="15"/>
      <c r="N50" s="73">
        <f>+D50+SUM(E50:M50)</f>
        <v>0.04</v>
      </c>
      <c r="O50" s="88">
        <f t="shared" si="15"/>
        <v>0</v>
      </c>
    </row>
    <row r="51" spans="1:15" ht="12.75">
      <c r="A51" s="2" t="s">
        <v>37</v>
      </c>
      <c r="B51" s="38">
        <v>-55.423</v>
      </c>
      <c r="C51" s="39">
        <v>50.139</v>
      </c>
      <c r="D51" s="12">
        <f>B51+C51</f>
        <v>-5.283999999999999</v>
      </c>
      <c r="E51" s="39"/>
      <c r="F51" s="15"/>
      <c r="G51" s="15"/>
      <c r="H51" s="39">
        <f>55</f>
        <v>55</v>
      </c>
      <c r="I51" s="15"/>
      <c r="J51" s="39"/>
      <c r="K51" s="15"/>
      <c r="L51" s="39">
        <v>-55</v>
      </c>
      <c r="M51" s="15"/>
      <c r="N51" s="73">
        <f>+D51+SUM(E51:M51)</f>
        <v>-5.283999999999999</v>
      </c>
      <c r="O51" s="88">
        <f t="shared" si="15"/>
        <v>-0.9046605200007217</v>
      </c>
    </row>
    <row r="52" spans="1:15" ht="12.75">
      <c r="A52" s="2" t="s">
        <v>38</v>
      </c>
      <c r="B52" s="38">
        <v>4.587</v>
      </c>
      <c r="C52" s="39"/>
      <c r="D52" s="12">
        <f>B52+C52</f>
        <v>4.587</v>
      </c>
      <c r="E52" s="39"/>
      <c r="F52" s="15"/>
      <c r="G52" s="15"/>
      <c r="H52" s="39"/>
      <c r="I52" s="15"/>
      <c r="J52" s="39"/>
      <c r="K52" s="15"/>
      <c r="L52" s="39"/>
      <c r="M52" s="15"/>
      <c r="N52" s="73">
        <f>+D52+SUM(E52:M52)</f>
        <v>4.587</v>
      </c>
      <c r="O52" s="88">
        <f t="shared" si="15"/>
        <v>0</v>
      </c>
    </row>
    <row r="53" spans="1:15" ht="12.75">
      <c r="A53" s="20" t="s">
        <v>83</v>
      </c>
      <c r="B53" s="38">
        <v>124.406</v>
      </c>
      <c r="C53" s="39">
        <v>-80.478</v>
      </c>
      <c r="D53" s="12">
        <f>B53+C53</f>
        <v>43.92800000000001</v>
      </c>
      <c r="E53" s="39"/>
      <c r="F53" s="15"/>
      <c r="G53" s="15"/>
      <c r="H53" s="39">
        <v>70</v>
      </c>
      <c r="I53" s="15">
        <v>-2</v>
      </c>
      <c r="J53" s="39">
        <v>-10</v>
      </c>
      <c r="K53" s="15"/>
      <c r="L53" s="39"/>
      <c r="M53" s="15">
        <v>25</v>
      </c>
      <c r="N53" s="73">
        <f>+D53+SUM(E53:M53)</f>
        <v>126.92800000000001</v>
      </c>
      <c r="O53" s="88">
        <f t="shared" si="15"/>
        <v>0.020272334131794332</v>
      </c>
    </row>
    <row r="54" spans="1:15" ht="12.75">
      <c r="A54" s="6"/>
      <c r="B54" s="74"/>
      <c r="C54" s="41"/>
      <c r="D54" s="16"/>
      <c r="E54" s="41"/>
      <c r="F54" s="17"/>
      <c r="G54" s="17"/>
      <c r="H54" s="41"/>
      <c r="I54" s="17"/>
      <c r="J54" s="41"/>
      <c r="K54" s="17"/>
      <c r="L54" s="41"/>
      <c r="M54" s="17"/>
      <c r="N54" s="74"/>
      <c r="O54" s="86"/>
    </row>
    <row r="55" spans="1:15" ht="12.75">
      <c r="A55" s="5" t="s">
        <v>40</v>
      </c>
      <c r="B55" s="32">
        <f aca="true" t="shared" si="16" ref="B55:M55">+SUM(B56:B61)</f>
        <v>352.012</v>
      </c>
      <c r="C55" s="34">
        <f>+SUM(C56:C61)</f>
        <v>-0.67</v>
      </c>
      <c r="D55" s="9">
        <f>+SUM(D56:D61)</f>
        <v>351.34200000000004</v>
      </c>
      <c r="E55" s="34">
        <f>+SUM(E56:E61)</f>
        <v>0</v>
      </c>
      <c r="F55" s="11">
        <f>+SUM(F56:F61)</f>
        <v>0</v>
      </c>
      <c r="G55" s="11">
        <f t="shared" si="16"/>
        <v>0</v>
      </c>
      <c r="H55" s="34">
        <f t="shared" si="16"/>
        <v>50</v>
      </c>
      <c r="I55" s="11">
        <f t="shared" si="16"/>
        <v>-3</v>
      </c>
      <c r="J55" s="34">
        <f t="shared" si="16"/>
        <v>0</v>
      </c>
      <c r="K55" s="11">
        <f t="shared" si="16"/>
        <v>-5</v>
      </c>
      <c r="L55" s="34">
        <f t="shared" si="16"/>
        <v>0</v>
      </c>
      <c r="M55" s="11">
        <f t="shared" si="16"/>
        <v>0</v>
      </c>
      <c r="N55" s="32">
        <f>+SUM(N56:N61)</f>
        <v>393.342</v>
      </c>
      <c r="O55" s="87">
        <f>+(N55-B55)/B55</f>
        <v>0.11741077008738333</v>
      </c>
    </row>
    <row r="56" spans="1:15" ht="12.75">
      <c r="A56" s="3" t="s">
        <v>1</v>
      </c>
      <c r="B56" s="38">
        <v>2.104</v>
      </c>
      <c r="C56" s="39"/>
      <c r="D56" s="12">
        <f aca="true" t="shared" si="17" ref="D56:D61">B56+C56</f>
        <v>2.104</v>
      </c>
      <c r="E56" s="39"/>
      <c r="F56" s="15"/>
      <c r="G56" s="15"/>
      <c r="H56" s="39"/>
      <c r="I56" s="15">
        <v>-3</v>
      </c>
      <c r="J56" s="39"/>
      <c r="K56" s="15"/>
      <c r="L56" s="39"/>
      <c r="M56" s="15"/>
      <c r="N56" s="73">
        <f aca="true" t="shared" si="18" ref="N56:N61">+D56+SUM(E56:M56)</f>
        <v>-0.8959999999999999</v>
      </c>
      <c r="O56" s="88">
        <f aca="true" t="shared" si="19" ref="O56:O61">+(N56-B56)/B56</f>
        <v>-1.4258555133079847</v>
      </c>
    </row>
    <row r="57" spans="1:15" ht="12.75">
      <c r="A57" s="3" t="s">
        <v>2</v>
      </c>
      <c r="B57" s="38">
        <v>215.981</v>
      </c>
      <c r="C57" s="39"/>
      <c r="D57" s="12">
        <f t="shared" si="17"/>
        <v>215.981</v>
      </c>
      <c r="E57" s="39"/>
      <c r="F57" s="15"/>
      <c r="G57" s="15"/>
      <c r="H57" s="39"/>
      <c r="I57" s="15"/>
      <c r="J57" s="39"/>
      <c r="K57" s="15"/>
      <c r="L57" s="39"/>
      <c r="M57" s="15"/>
      <c r="N57" s="73">
        <f t="shared" si="18"/>
        <v>215.981</v>
      </c>
      <c r="O57" s="88">
        <f t="shared" si="19"/>
        <v>0</v>
      </c>
    </row>
    <row r="58" spans="1:15" ht="12.75">
      <c r="A58" s="3" t="s">
        <v>48</v>
      </c>
      <c r="B58" s="38">
        <v>118.984</v>
      </c>
      <c r="C58" s="39"/>
      <c r="D58" s="12">
        <f t="shared" si="17"/>
        <v>118.984</v>
      </c>
      <c r="E58" s="39"/>
      <c r="F58" s="15"/>
      <c r="G58" s="15"/>
      <c r="H58" s="39">
        <v>50</v>
      </c>
      <c r="I58" s="15"/>
      <c r="J58" s="39"/>
      <c r="K58" s="15">
        <v>-5</v>
      </c>
      <c r="L58" s="39"/>
      <c r="M58" s="15"/>
      <c r="N58" s="73">
        <f t="shared" si="18"/>
        <v>163.98399999999998</v>
      </c>
      <c r="O58" s="88">
        <f>+(N58-B58)/B58</f>
        <v>0.37820211120822955</v>
      </c>
    </row>
    <row r="59" spans="1:15" ht="12.75">
      <c r="A59" s="3" t="s">
        <v>49</v>
      </c>
      <c r="B59" s="38">
        <v>2.7</v>
      </c>
      <c r="C59" s="39">
        <v>-0.234</v>
      </c>
      <c r="D59" s="12">
        <f t="shared" si="17"/>
        <v>2.466</v>
      </c>
      <c r="E59" s="39"/>
      <c r="F59" s="15"/>
      <c r="G59" s="15"/>
      <c r="H59" s="39"/>
      <c r="I59" s="15"/>
      <c r="J59" s="39"/>
      <c r="K59" s="15"/>
      <c r="L59" s="39"/>
      <c r="M59" s="15"/>
      <c r="N59" s="73">
        <f t="shared" si="18"/>
        <v>2.466</v>
      </c>
      <c r="O59" s="88">
        <f t="shared" si="19"/>
        <v>-0.08666666666666666</v>
      </c>
    </row>
    <row r="60" spans="1:15" ht="12.75">
      <c r="A60" s="3" t="s">
        <v>50</v>
      </c>
      <c r="B60" s="38">
        <v>0.29</v>
      </c>
      <c r="C60" s="39"/>
      <c r="D60" s="12">
        <f t="shared" si="17"/>
        <v>0.29</v>
      </c>
      <c r="E60" s="39"/>
      <c r="F60" s="15"/>
      <c r="G60" s="15"/>
      <c r="H60" s="39"/>
      <c r="I60" s="15"/>
      <c r="J60" s="39"/>
      <c r="K60" s="15"/>
      <c r="L60" s="39"/>
      <c r="M60" s="15"/>
      <c r="N60" s="73">
        <f t="shared" si="18"/>
        <v>0.29</v>
      </c>
      <c r="O60" s="88">
        <f t="shared" si="19"/>
        <v>0</v>
      </c>
    </row>
    <row r="61" spans="1:15" ht="12.75">
      <c r="A61" s="3" t="s">
        <v>51</v>
      </c>
      <c r="B61" s="38">
        <v>11.953</v>
      </c>
      <c r="C61" s="39">
        <v>-0.436</v>
      </c>
      <c r="D61" s="12">
        <f t="shared" si="17"/>
        <v>11.517</v>
      </c>
      <c r="E61" s="39"/>
      <c r="F61" s="15"/>
      <c r="G61" s="15"/>
      <c r="H61" s="39"/>
      <c r="I61" s="15"/>
      <c r="J61" s="39"/>
      <c r="K61" s="15"/>
      <c r="L61" s="39"/>
      <c r="M61" s="15"/>
      <c r="N61" s="73">
        <f t="shared" si="18"/>
        <v>11.517</v>
      </c>
      <c r="O61" s="88">
        <f t="shared" si="19"/>
        <v>-0.036476198443905296</v>
      </c>
    </row>
    <row r="62" spans="1:15" ht="12.75">
      <c r="A62" s="20"/>
      <c r="B62" s="73"/>
      <c r="C62" s="36"/>
      <c r="D62" s="12"/>
      <c r="E62" s="36"/>
      <c r="F62" s="13"/>
      <c r="G62" s="13"/>
      <c r="H62" s="36"/>
      <c r="I62" s="13"/>
      <c r="J62" s="36"/>
      <c r="K62" s="13"/>
      <c r="L62" s="36"/>
      <c r="M62" s="13"/>
      <c r="N62" s="73"/>
      <c r="O62" s="86"/>
    </row>
    <row r="63" spans="1:15" s="31" customFormat="1" ht="15.75">
      <c r="A63" s="52" t="s">
        <v>85</v>
      </c>
      <c r="B63" s="72">
        <f aca="true" t="shared" si="20" ref="B63:N63">+B65+B72+B86+B98</f>
        <v>14493.37</v>
      </c>
      <c r="C63" s="30">
        <f t="shared" si="20"/>
        <v>-116.97099999999995</v>
      </c>
      <c r="D63" s="25">
        <f t="shared" si="20"/>
        <v>14376.399000000001</v>
      </c>
      <c r="E63" s="26">
        <f t="shared" si="20"/>
        <v>0</v>
      </c>
      <c r="F63" s="26">
        <f t="shared" si="20"/>
        <v>0</v>
      </c>
      <c r="G63" s="26">
        <f t="shared" si="20"/>
        <v>158</v>
      </c>
      <c r="H63" s="26">
        <f t="shared" si="20"/>
        <v>422</v>
      </c>
      <c r="I63" s="26">
        <f t="shared" si="20"/>
        <v>-613</v>
      </c>
      <c r="J63" s="26">
        <f t="shared" si="20"/>
        <v>-42</v>
      </c>
      <c r="K63" s="26">
        <f t="shared" si="20"/>
        <v>-640</v>
      </c>
      <c r="L63" s="26">
        <f t="shared" si="20"/>
        <v>-156</v>
      </c>
      <c r="M63" s="30">
        <f t="shared" si="20"/>
        <v>35</v>
      </c>
      <c r="N63" s="25">
        <f t="shared" si="20"/>
        <v>13540.399</v>
      </c>
      <c r="O63" s="85">
        <f>+(N63-B63)/B63</f>
        <v>-0.06575220255882526</v>
      </c>
    </row>
    <row r="64" spans="1:15" ht="12.75">
      <c r="A64" s="6"/>
      <c r="B64" s="74"/>
      <c r="C64" s="41"/>
      <c r="D64" s="16"/>
      <c r="E64" s="41"/>
      <c r="F64" s="17"/>
      <c r="G64" s="17"/>
      <c r="H64" s="41"/>
      <c r="I64" s="17"/>
      <c r="J64" s="41"/>
      <c r="K64" s="17"/>
      <c r="L64" s="41"/>
      <c r="M64" s="17"/>
      <c r="N64" s="74"/>
      <c r="O64" s="86"/>
    </row>
    <row r="65" spans="1:15" ht="12.75">
      <c r="A65" s="5" t="s">
        <v>46</v>
      </c>
      <c r="B65" s="32">
        <f aca="true" t="shared" si="21" ref="B65:N65">+SUM(B66:B70)</f>
        <v>2961.9349999999995</v>
      </c>
      <c r="C65" s="33">
        <f t="shared" si="21"/>
        <v>-4.749</v>
      </c>
      <c r="D65" s="9">
        <f t="shared" si="21"/>
        <v>2957.1859999999997</v>
      </c>
      <c r="E65" s="33">
        <f t="shared" si="21"/>
        <v>0</v>
      </c>
      <c r="F65" s="10">
        <f t="shared" si="21"/>
        <v>0</v>
      </c>
      <c r="G65" s="10">
        <f t="shared" si="21"/>
        <v>0</v>
      </c>
      <c r="H65" s="33">
        <f t="shared" si="21"/>
        <v>10</v>
      </c>
      <c r="I65" s="10">
        <f t="shared" si="21"/>
        <v>-84</v>
      </c>
      <c r="J65" s="33">
        <f t="shared" si="21"/>
        <v>-20</v>
      </c>
      <c r="K65" s="10">
        <f t="shared" si="21"/>
        <v>-52</v>
      </c>
      <c r="L65" s="33">
        <f t="shared" si="21"/>
        <v>-16</v>
      </c>
      <c r="M65" s="10">
        <f t="shared" si="21"/>
        <v>-34</v>
      </c>
      <c r="N65" s="32">
        <f t="shared" si="21"/>
        <v>2761.1859999999997</v>
      </c>
      <c r="O65" s="87">
        <f aca="true" t="shared" si="22" ref="O65:O70">+(N65-B65)/B65</f>
        <v>-0.06777630164065039</v>
      </c>
    </row>
    <row r="66" spans="1:15" ht="12.75">
      <c r="A66" s="2" t="s">
        <v>96</v>
      </c>
      <c r="B66" s="38">
        <v>629.319</v>
      </c>
      <c r="C66" s="39">
        <v>-13.449</v>
      </c>
      <c r="D66" s="12">
        <f>B66+C66</f>
        <v>615.87</v>
      </c>
      <c r="E66" s="39"/>
      <c r="F66" s="15"/>
      <c r="G66" s="15"/>
      <c r="H66" s="39">
        <v>10</v>
      </c>
      <c r="I66" s="15">
        <v>-30</v>
      </c>
      <c r="J66" s="39">
        <v>-20</v>
      </c>
      <c r="K66" s="15">
        <v>-15</v>
      </c>
      <c r="L66" s="39"/>
      <c r="M66" s="15">
        <v>2</v>
      </c>
      <c r="N66" s="73">
        <f>+D66+SUM(E66:M66)</f>
        <v>562.87</v>
      </c>
      <c r="O66" s="88">
        <f t="shared" si="22"/>
        <v>-0.10558873957404744</v>
      </c>
    </row>
    <row r="67" spans="1:15" ht="12.75">
      <c r="A67" s="2" t="s">
        <v>47</v>
      </c>
      <c r="B67" s="38">
        <v>604.803</v>
      </c>
      <c r="C67" s="39"/>
      <c r="D67" s="12">
        <f>B67+C67</f>
        <v>604.803</v>
      </c>
      <c r="E67" s="39"/>
      <c r="F67" s="15"/>
      <c r="G67" s="15"/>
      <c r="H67" s="39"/>
      <c r="I67" s="15"/>
      <c r="J67" s="39"/>
      <c r="K67" s="15"/>
      <c r="L67" s="39"/>
      <c r="M67" s="15">
        <f>-36</f>
        <v>-36</v>
      </c>
      <c r="N67" s="73">
        <f>+D67+SUM(E67:M67)</f>
        <v>568.803</v>
      </c>
      <c r="O67" s="88">
        <f t="shared" si="22"/>
        <v>-0.0595235142682824</v>
      </c>
    </row>
    <row r="68" spans="1:15" ht="12.75">
      <c r="A68" s="2" t="s">
        <v>97</v>
      </c>
      <c r="B68" s="38">
        <v>1423.202</v>
      </c>
      <c r="C68" s="39">
        <v>10.545</v>
      </c>
      <c r="D68" s="12">
        <f>B68+C68</f>
        <v>1433.747</v>
      </c>
      <c r="E68" s="39"/>
      <c r="F68" s="15"/>
      <c r="G68" s="15"/>
      <c r="H68" s="39"/>
      <c r="I68" s="15"/>
      <c r="J68" s="39"/>
      <c r="K68" s="15">
        <f>-25+-10+-2</f>
        <v>-37</v>
      </c>
      <c r="L68" s="39">
        <v>-16</v>
      </c>
      <c r="M68" s="15"/>
      <c r="N68" s="73">
        <f>+D68+SUM(E68:M68)</f>
        <v>1380.747</v>
      </c>
      <c r="O68" s="88">
        <f t="shared" si="22"/>
        <v>-0.029830621373494366</v>
      </c>
    </row>
    <row r="69" spans="1:15" ht="12.75">
      <c r="A69" s="2" t="s">
        <v>105</v>
      </c>
      <c r="B69" s="38">
        <v>88.557</v>
      </c>
      <c r="C69" s="39"/>
      <c r="D69" s="12">
        <f>B69+C69</f>
        <v>88.557</v>
      </c>
      <c r="E69" s="39"/>
      <c r="F69" s="15"/>
      <c r="G69" s="15"/>
      <c r="H69" s="39"/>
      <c r="I69" s="15"/>
      <c r="J69" s="39"/>
      <c r="K69" s="15"/>
      <c r="L69" s="39"/>
      <c r="M69" s="15"/>
      <c r="N69" s="73">
        <f>+D69+SUM(E69:M69)</f>
        <v>88.557</v>
      </c>
      <c r="O69" s="88">
        <f>+(N69-B69)/B69</f>
        <v>0</v>
      </c>
    </row>
    <row r="70" spans="1:15" ht="12.75">
      <c r="A70" s="2" t="s">
        <v>98</v>
      </c>
      <c r="B70" s="38">
        <v>216.054</v>
      </c>
      <c r="C70" s="39">
        <v>-1.845</v>
      </c>
      <c r="D70" s="12">
        <f>B70+C70</f>
        <v>214.209</v>
      </c>
      <c r="E70" s="39"/>
      <c r="F70" s="15"/>
      <c r="G70" s="15"/>
      <c r="H70" s="39"/>
      <c r="I70" s="15">
        <v>-54</v>
      </c>
      <c r="J70" s="39"/>
      <c r="K70" s="15"/>
      <c r="L70" s="39"/>
      <c r="M70" s="15"/>
      <c r="N70" s="73">
        <f>+D70+SUM(E70:M70)</f>
        <v>160.209</v>
      </c>
      <c r="O70" s="88">
        <f t="shared" si="22"/>
        <v>-0.2584770474048155</v>
      </c>
    </row>
    <row r="71" spans="1:15" ht="12.75">
      <c r="A71" s="6"/>
      <c r="B71" s="74"/>
      <c r="C71" s="41"/>
      <c r="D71" s="16"/>
      <c r="E71" s="41"/>
      <c r="F71" s="17"/>
      <c r="G71" s="17"/>
      <c r="H71" s="41"/>
      <c r="I71" s="17"/>
      <c r="J71" s="41"/>
      <c r="K71" s="17"/>
      <c r="L71" s="41"/>
      <c r="M71" s="17"/>
      <c r="N71" s="74"/>
      <c r="O71" s="86"/>
    </row>
    <row r="72" spans="1:15" ht="12.75">
      <c r="A72" s="5" t="s">
        <v>73</v>
      </c>
      <c r="B72" s="32">
        <f>+SUM(B73:B84)</f>
        <v>2914.301000000001</v>
      </c>
      <c r="C72" s="33">
        <f>+SUM(C73:C84)</f>
        <v>43.86500000000004</v>
      </c>
      <c r="D72" s="9">
        <f>+SUM(D73:D84)</f>
        <v>2958.1660000000006</v>
      </c>
      <c r="E72" s="33">
        <f>+SUM(E73:E84)</f>
        <v>0</v>
      </c>
      <c r="F72" s="10">
        <f>+SUM(F73:F84)</f>
        <v>0</v>
      </c>
      <c r="G72" s="10">
        <f aca="true" t="shared" si="23" ref="G72:N72">+SUM(G73:G84)</f>
        <v>146</v>
      </c>
      <c r="H72" s="33">
        <f t="shared" si="23"/>
        <v>412</v>
      </c>
      <c r="I72" s="10">
        <f t="shared" si="23"/>
        <v>-240</v>
      </c>
      <c r="J72" s="33">
        <f t="shared" si="23"/>
        <v>-22</v>
      </c>
      <c r="K72" s="10">
        <f t="shared" si="23"/>
        <v>-512</v>
      </c>
      <c r="L72" s="33">
        <f t="shared" si="23"/>
        <v>0</v>
      </c>
      <c r="M72" s="10">
        <f t="shared" si="23"/>
        <v>50</v>
      </c>
      <c r="N72" s="32">
        <f t="shared" si="23"/>
        <v>2792.166</v>
      </c>
      <c r="O72" s="87">
        <f>+(N72-B72)/B72</f>
        <v>-0.04190884881143047</v>
      </c>
    </row>
    <row r="73" spans="1:15" ht="12.75">
      <c r="A73" s="21" t="s">
        <v>86</v>
      </c>
      <c r="B73" s="38">
        <v>-2514.73</v>
      </c>
      <c r="C73" s="39">
        <f>615.232-150.791</f>
        <v>464.441</v>
      </c>
      <c r="D73" s="12">
        <f aca="true" t="shared" si="24" ref="D73:D84">B73+C73</f>
        <v>-2050.289</v>
      </c>
      <c r="E73" s="39"/>
      <c r="F73" s="15"/>
      <c r="G73" s="15"/>
      <c r="H73" s="39"/>
      <c r="I73" s="15"/>
      <c r="J73" s="39"/>
      <c r="K73" s="15">
        <v>-77</v>
      </c>
      <c r="L73" s="39"/>
      <c r="M73" s="15"/>
      <c r="N73" s="73">
        <f aca="true" t="shared" si="25" ref="N73:N84">+D73+SUM(E73:M73)</f>
        <v>-2127.289</v>
      </c>
      <c r="O73" s="88">
        <f aca="true" t="shared" si="26" ref="O73:O83">+(N73-B73)/B73</f>
        <v>-0.15406862764591023</v>
      </c>
    </row>
    <row r="74" spans="1:15" ht="12.75">
      <c r="A74" s="21" t="s">
        <v>87</v>
      </c>
      <c r="B74" s="38">
        <v>-111.204</v>
      </c>
      <c r="C74" s="39">
        <f>346.821-675.146</f>
        <v>-328.32499999999993</v>
      </c>
      <c r="D74" s="12">
        <f t="shared" si="24"/>
        <v>-439.52899999999994</v>
      </c>
      <c r="E74" s="39"/>
      <c r="F74" s="15"/>
      <c r="G74" s="15"/>
      <c r="H74" s="39"/>
      <c r="I74" s="15"/>
      <c r="J74" s="39"/>
      <c r="K74" s="15"/>
      <c r="L74" s="39"/>
      <c r="M74" s="15"/>
      <c r="N74" s="73">
        <f t="shared" si="25"/>
        <v>-439.52899999999994</v>
      </c>
      <c r="O74" s="88">
        <f t="shared" si="26"/>
        <v>2.95245674616021</v>
      </c>
    </row>
    <row r="75" spans="1:15" ht="12.75">
      <c r="A75" s="21" t="s">
        <v>20</v>
      </c>
      <c r="B75" s="38">
        <v>-3368.749</v>
      </c>
      <c r="C75" s="39">
        <v>-4.37</v>
      </c>
      <c r="D75" s="12">
        <f t="shared" si="24"/>
        <v>-3373.1189999999997</v>
      </c>
      <c r="E75" s="39"/>
      <c r="F75" s="15"/>
      <c r="G75" s="15"/>
      <c r="H75" s="39">
        <v>-110</v>
      </c>
      <c r="I75" s="15"/>
      <c r="J75" s="39"/>
      <c r="K75" s="15">
        <f>-113+-50+-25</f>
        <v>-188</v>
      </c>
      <c r="L75" s="39"/>
      <c r="M75" s="15"/>
      <c r="N75" s="73">
        <f t="shared" si="25"/>
        <v>-3671.1189999999997</v>
      </c>
      <c r="O75" s="88">
        <f>+(N75-B75)/B75</f>
        <v>0.0897573550300126</v>
      </c>
    </row>
    <row r="76" spans="1:15" ht="12.75">
      <c r="A76" s="21" t="s">
        <v>21</v>
      </c>
      <c r="B76" s="38">
        <v>3283.395</v>
      </c>
      <c r="C76" s="39">
        <v>-104.162</v>
      </c>
      <c r="D76" s="12">
        <f t="shared" si="24"/>
        <v>3179.233</v>
      </c>
      <c r="E76" s="39"/>
      <c r="F76" s="15"/>
      <c r="G76" s="15"/>
      <c r="H76" s="39">
        <f>27+100+100</f>
        <v>227</v>
      </c>
      <c r="I76" s="15"/>
      <c r="J76" s="39"/>
      <c r="K76" s="15">
        <f>-16+-35</f>
        <v>-51</v>
      </c>
      <c r="L76" s="39"/>
      <c r="M76" s="15"/>
      <c r="N76" s="73">
        <f t="shared" si="25"/>
        <v>3355.233</v>
      </c>
      <c r="O76" s="88">
        <f t="shared" si="26"/>
        <v>0.021879182979812114</v>
      </c>
    </row>
    <row r="77" spans="1:15" ht="12.75">
      <c r="A77" s="21" t="s">
        <v>88</v>
      </c>
      <c r="B77" s="38">
        <v>-1337.925</v>
      </c>
      <c r="C77" s="39">
        <v>182.526</v>
      </c>
      <c r="D77" s="12">
        <f t="shared" si="24"/>
        <v>-1155.399</v>
      </c>
      <c r="E77" s="39"/>
      <c r="F77" s="15"/>
      <c r="G77" s="15"/>
      <c r="H77" s="39">
        <v>110</v>
      </c>
      <c r="I77" s="15">
        <f>-40+-20</f>
        <v>-60</v>
      </c>
      <c r="J77" s="39">
        <v>-22</v>
      </c>
      <c r="K77" s="15">
        <f>-66</f>
        <v>-66</v>
      </c>
      <c r="L77" s="39"/>
      <c r="M77" s="15"/>
      <c r="N77" s="73">
        <f t="shared" si="25"/>
        <v>-1193.399</v>
      </c>
      <c r="O77" s="88">
        <f t="shared" si="26"/>
        <v>-0.10802249752415126</v>
      </c>
    </row>
    <row r="78" spans="1:15" ht="12.75">
      <c r="A78" s="21" t="s">
        <v>66</v>
      </c>
      <c r="B78" s="38">
        <v>-107.373</v>
      </c>
      <c r="C78" s="39">
        <v>-24.693</v>
      </c>
      <c r="D78" s="12">
        <f t="shared" si="24"/>
        <v>-132.066</v>
      </c>
      <c r="E78" s="39"/>
      <c r="F78" s="15"/>
      <c r="G78" s="15">
        <v>12</v>
      </c>
      <c r="H78" s="39"/>
      <c r="I78" s="15"/>
      <c r="J78" s="39"/>
      <c r="K78" s="15">
        <v>-20</v>
      </c>
      <c r="L78" s="39"/>
      <c r="M78" s="15"/>
      <c r="N78" s="73">
        <f t="shared" si="25"/>
        <v>-140.066</v>
      </c>
      <c r="O78" s="88">
        <f t="shared" si="26"/>
        <v>0.3044806422471198</v>
      </c>
    </row>
    <row r="79" spans="1:15" ht="12.75">
      <c r="A79" s="21" t="s">
        <v>22</v>
      </c>
      <c r="B79" s="38">
        <v>4185.879</v>
      </c>
      <c r="C79" s="39">
        <v>-106.855</v>
      </c>
      <c r="D79" s="12">
        <f t="shared" si="24"/>
        <v>4079.024</v>
      </c>
      <c r="E79" s="39"/>
      <c r="F79" s="15"/>
      <c r="G79" s="15">
        <v>1</v>
      </c>
      <c r="H79" s="39"/>
      <c r="I79" s="15">
        <v>-25</v>
      </c>
      <c r="J79" s="39"/>
      <c r="K79" s="15">
        <v>-40</v>
      </c>
      <c r="L79" s="39"/>
      <c r="M79" s="15">
        <v>50</v>
      </c>
      <c r="N79" s="73">
        <f t="shared" si="25"/>
        <v>4065.024</v>
      </c>
      <c r="O79" s="88">
        <f t="shared" si="26"/>
        <v>-0.028872072030749103</v>
      </c>
    </row>
    <row r="80" spans="1:15" ht="12.75">
      <c r="A80" s="21" t="s">
        <v>65</v>
      </c>
      <c r="B80" s="38">
        <v>-213.15</v>
      </c>
      <c r="C80" s="39">
        <v>-27.413</v>
      </c>
      <c r="D80" s="12">
        <f t="shared" si="24"/>
        <v>-240.56300000000002</v>
      </c>
      <c r="E80" s="39"/>
      <c r="F80" s="15"/>
      <c r="G80" s="15">
        <v>39</v>
      </c>
      <c r="H80" s="39">
        <v>185</v>
      </c>
      <c r="I80" s="15"/>
      <c r="J80" s="39"/>
      <c r="K80" s="15">
        <f>-60+-10</f>
        <v>-70</v>
      </c>
      <c r="L80" s="39"/>
      <c r="M80" s="15"/>
      <c r="N80" s="73">
        <f t="shared" si="25"/>
        <v>-86.56300000000002</v>
      </c>
      <c r="O80" s="88">
        <f t="shared" si="26"/>
        <v>-0.5938869340839783</v>
      </c>
    </row>
    <row r="81" spans="1:15" ht="12.75" customHeight="1">
      <c r="A81" s="21" t="s">
        <v>23</v>
      </c>
      <c r="B81" s="38">
        <v>-55.181</v>
      </c>
      <c r="C81" s="39">
        <v>0.01</v>
      </c>
      <c r="D81" s="12">
        <f t="shared" si="24"/>
        <v>-55.171</v>
      </c>
      <c r="E81" s="39"/>
      <c r="F81" s="15"/>
      <c r="G81" s="15"/>
      <c r="H81" s="39"/>
      <c r="I81" s="15"/>
      <c r="J81" s="39"/>
      <c r="K81" s="15"/>
      <c r="L81" s="39"/>
      <c r="M81" s="15"/>
      <c r="N81" s="73">
        <f t="shared" si="25"/>
        <v>-55.171</v>
      </c>
      <c r="O81" s="88">
        <f t="shared" si="26"/>
        <v>-0.00018122179735775016</v>
      </c>
    </row>
    <row r="82" spans="1:15" ht="12.75" customHeight="1">
      <c r="A82" s="21" t="s">
        <v>89</v>
      </c>
      <c r="B82" s="38">
        <v>-190.283</v>
      </c>
      <c r="C82" s="39">
        <v>-49.122</v>
      </c>
      <c r="D82" s="12">
        <f t="shared" si="24"/>
        <v>-239.40499999999997</v>
      </c>
      <c r="E82" s="39"/>
      <c r="F82" s="15"/>
      <c r="G82" s="15"/>
      <c r="H82" s="39"/>
      <c r="I82" s="15"/>
      <c r="J82" s="39"/>
      <c r="K82" s="15"/>
      <c r="L82" s="39"/>
      <c r="M82" s="15"/>
      <c r="N82" s="73">
        <f t="shared" si="25"/>
        <v>-239.40499999999997</v>
      </c>
      <c r="O82" s="88">
        <f t="shared" si="26"/>
        <v>0.2581523310017184</v>
      </c>
    </row>
    <row r="83" spans="1:15" ht="12.75" customHeight="1">
      <c r="A83" s="21" t="s">
        <v>24</v>
      </c>
      <c r="B83" s="38">
        <v>2156.251</v>
      </c>
      <c r="C83" s="39">
        <v>179.683</v>
      </c>
      <c r="D83" s="12">
        <f t="shared" si="24"/>
        <v>2335.934</v>
      </c>
      <c r="E83" s="39"/>
      <c r="F83" s="15"/>
      <c r="G83" s="15"/>
      <c r="H83" s="39"/>
      <c r="I83" s="15"/>
      <c r="J83" s="39"/>
      <c r="K83" s="15"/>
      <c r="L83" s="39"/>
      <c r="M83" s="15"/>
      <c r="N83" s="73">
        <f t="shared" si="25"/>
        <v>2335.934</v>
      </c>
      <c r="O83" s="88">
        <f t="shared" si="26"/>
        <v>0.08333120773045437</v>
      </c>
    </row>
    <row r="84" spans="1:15" ht="12.75" customHeight="1">
      <c r="A84" s="21" t="s">
        <v>25</v>
      </c>
      <c r="B84" s="38">
        <v>1187.371</v>
      </c>
      <c r="C84" s="39">
        <v>-137.855</v>
      </c>
      <c r="D84" s="12">
        <f t="shared" si="24"/>
        <v>1049.516</v>
      </c>
      <c r="E84" s="39"/>
      <c r="F84" s="15"/>
      <c r="G84" s="15">
        <v>94</v>
      </c>
      <c r="H84" s="39"/>
      <c r="I84" s="15">
        <v>-155</v>
      </c>
      <c r="J84" s="39"/>
      <c r="K84" s="15"/>
      <c r="L84" s="39"/>
      <c r="M84" s="15"/>
      <c r="N84" s="73">
        <f t="shared" si="25"/>
        <v>988.5160000000001</v>
      </c>
      <c r="O84" s="88">
        <f>+(N84-B84)/B84</f>
        <v>-0.16747503518276932</v>
      </c>
    </row>
    <row r="85" spans="1:15" ht="12.75">
      <c r="A85" s="6"/>
      <c r="B85" s="38"/>
      <c r="C85" s="39"/>
      <c r="D85" s="14"/>
      <c r="E85" s="39"/>
      <c r="F85" s="15"/>
      <c r="G85" s="15"/>
      <c r="H85" s="39"/>
      <c r="I85" s="15"/>
      <c r="J85" s="39"/>
      <c r="K85" s="15"/>
      <c r="L85" s="39"/>
      <c r="M85" s="15"/>
      <c r="N85" s="38"/>
      <c r="O85" s="89"/>
    </row>
    <row r="86" spans="1:15" ht="12.75">
      <c r="A86" s="7" t="s">
        <v>104</v>
      </c>
      <c r="B86" s="32">
        <f aca="true" t="shared" si="27" ref="B86:N86">+SUM(B87:B96)</f>
        <v>8201.559</v>
      </c>
      <c r="C86" s="34">
        <f t="shared" si="27"/>
        <v>-187.166</v>
      </c>
      <c r="D86" s="9">
        <f t="shared" si="27"/>
        <v>8014.393</v>
      </c>
      <c r="E86" s="11">
        <f t="shared" si="27"/>
        <v>0</v>
      </c>
      <c r="F86" s="11">
        <f t="shared" si="27"/>
        <v>0</v>
      </c>
      <c r="G86" s="11">
        <f t="shared" si="27"/>
        <v>12</v>
      </c>
      <c r="H86" s="11">
        <f t="shared" si="27"/>
        <v>0</v>
      </c>
      <c r="I86" s="11">
        <f t="shared" si="27"/>
        <v>-289</v>
      </c>
      <c r="J86" s="11">
        <f t="shared" si="27"/>
        <v>0</v>
      </c>
      <c r="K86" s="11">
        <f t="shared" si="27"/>
        <v>-60</v>
      </c>
      <c r="L86" s="11">
        <f t="shared" si="27"/>
        <v>-140</v>
      </c>
      <c r="M86" s="11">
        <f t="shared" si="27"/>
        <v>0</v>
      </c>
      <c r="N86" s="9">
        <f t="shared" si="27"/>
        <v>7537.393</v>
      </c>
      <c r="O86" s="87">
        <f>+(N86-B86)/B86</f>
        <v>-0.08098045749594672</v>
      </c>
    </row>
    <row r="87" spans="1:15" ht="12.75">
      <c r="A87" s="4" t="s">
        <v>55</v>
      </c>
      <c r="B87" s="38">
        <v>2034.297</v>
      </c>
      <c r="C87" s="39">
        <v>50.572</v>
      </c>
      <c r="D87" s="12">
        <f aca="true" t="shared" si="28" ref="D87:D95">B87+C87</f>
        <v>2084.869</v>
      </c>
      <c r="E87" s="39"/>
      <c r="F87" s="15"/>
      <c r="G87" s="15">
        <v>12</v>
      </c>
      <c r="H87" s="39"/>
      <c r="I87" s="15">
        <f>36+-300</f>
        <v>-264</v>
      </c>
      <c r="J87" s="39"/>
      <c r="K87" s="15"/>
      <c r="L87" s="39"/>
      <c r="M87" s="15"/>
      <c r="N87" s="73">
        <f aca="true" t="shared" si="29" ref="N87:N95">+D87+SUM(E87:M87)</f>
        <v>1832.8690000000001</v>
      </c>
      <c r="O87" s="88">
        <f aca="true" t="shared" si="30" ref="O87:O95">+(N87-B87)/B87</f>
        <v>-0.09901602371728409</v>
      </c>
    </row>
    <row r="88" spans="1:15" ht="12.75">
      <c r="A88" s="4" t="s">
        <v>72</v>
      </c>
      <c r="B88" s="38">
        <v>86.306</v>
      </c>
      <c r="C88" s="39">
        <v>0</v>
      </c>
      <c r="D88" s="12">
        <f t="shared" si="28"/>
        <v>86.306</v>
      </c>
      <c r="E88" s="39"/>
      <c r="F88" s="15"/>
      <c r="G88" s="15"/>
      <c r="H88" s="39"/>
      <c r="I88" s="15"/>
      <c r="J88" s="39"/>
      <c r="K88" s="15"/>
      <c r="L88" s="39"/>
      <c r="M88" s="15"/>
      <c r="N88" s="73">
        <f t="shared" si="29"/>
        <v>86.306</v>
      </c>
      <c r="O88" s="88">
        <f t="shared" si="30"/>
        <v>0</v>
      </c>
    </row>
    <row r="89" spans="1:15" ht="12.75">
      <c r="A89" s="4" t="s">
        <v>56</v>
      </c>
      <c r="B89" s="38">
        <v>189.419</v>
      </c>
      <c r="C89" s="39">
        <v>20.906</v>
      </c>
      <c r="D89" s="12">
        <f t="shared" si="28"/>
        <v>210.32500000000002</v>
      </c>
      <c r="E89" s="39"/>
      <c r="F89" s="15"/>
      <c r="G89" s="15"/>
      <c r="H89" s="39"/>
      <c r="I89" s="15"/>
      <c r="J89" s="39"/>
      <c r="K89" s="15">
        <v>-4</v>
      </c>
      <c r="L89" s="39"/>
      <c r="M89" s="15"/>
      <c r="N89" s="73">
        <f t="shared" si="29"/>
        <v>206.32500000000002</v>
      </c>
      <c r="O89" s="88">
        <f t="shared" si="30"/>
        <v>0.08925187019253615</v>
      </c>
    </row>
    <row r="90" spans="1:15" ht="12.75">
      <c r="A90" s="4" t="s">
        <v>57</v>
      </c>
      <c r="B90" s="38">
        <v>23.952</v>
      </c>
      <c r="C90" s="39">
        <v>0.717</v>
      </c>
      <c r="D90" s="12">
        <f t="shared" si="28"/>
        <v>24.669</v>
      </c>
      <c r="E90" s="39"/>
      <c r="F90" s="15"/>
      <c r="G90" s="15"/>
      <c r="H90" s="39"/>
      <c r="I90" s="15"/>
      <c r="J90" s="39"/>
      <c r="K90" s="15"/>
      <c r="L90" s="39"/>
      <c r="M90" s="15"/>
      <c r="N90" s="73">
        <f t="shared" si="29"/>
        <v>24.669</v>
      </c>
      <c r="O90" s="88">
        <f t="shared" si="30"/>
        <v>0.029934869739478905</v>
      </c>
    </row>
    <row r="91" spans="1:15" ht="12.75">
      <c r="A91" s="4" t="s">
        <v>58</v>
      </c>
      <c r="B91" s="38">
        <v>78.684</v>
      </c>
      <c r="C91" s="39">
        <v>-13.977</v>
      </c>
      <c r="D91" s="12">
        <f t="shared" si="28"/>
        <v>64.707</v>
      </c>
      <c r="E91" s="39"/>
      <c r="F91" s="15"/>
      <c r="G91" s="15"/>
      <c r="H91" s="39"/>
      <c r="I91" s="15"/>
      <c r="J91" s="39"/>
      <c r="K91" s="15"/>
      <c r="L91" s="39"/>
      <c r="M91" s="15"/>
      <c r="N91" s="73">
        <f t="shared" si="29"/>
        <v>64.707</v>
      </c>
      <c r="O91" s="88">
        <f t="shared" si="30"/>
        <v>-0.17763458898886691</v>
      </c>
    </row>
    <row r="92" spans="1:15" ht="12.75">
      <c r="A92" s="4" t="s">
        <v>59</v>
      </c>
      <c r="B92" s="38">
        <v>155.916</v>
      </c>
      <c r="C92" s="39">
        <v>-0.802</v>
      </c>
      <c r="D92" s="12">
        <f t="shared" si="28"/>
        <v>155.114</v>
      </c>
      <c r="E92" s="39"/>
      <c r="F92" s="15"/>
      <c r="G92" s="15"/>
      <c r="H92" s="39"/>
      <c r="I92" s="15"/>
      <c r="J92" s="39"/>
      <c r="K92" s="15">
        <v>-10</v>
      </c>
      <c r="L92" s="39"/>
      <c r="M92" s="15"/>
      <c r="N92" s="73">
        <f t="shared" si="29"/>
        <v>145.114</v>
      </c>
      <c r="O92" s="88">
        <f t="shared" si="30"/>
        <v>-0.06928089484081167</v>
      </c>
    </row>
    <row r="93" spans="1:15" ht="12.75">
      <c r="A93" s="4" t="s">
        <v>60</v>
      </c>
      <c r="B93" s="38">
        <v>2122.468</v>
      </c>
      <c r="C93" s="39">
        <v>-243.394</v>
      </c>
      <c r="D93" s="12">
        <f t="shared" si="28"/>
        <v>1879.0739999999998</v>
      </c>
      <c r="E93" s="39"/>
      <c r="F93" s="15"/>
      <c r="G93" s="15"/>
      <c r="H93" s="39"/>
      <c r="I93" s="15">
        <f>-10</f>
        <v>-10</v>
      </c>
      <c r="J93" s="39"/>
      <c r="K93" s="15">
        <f>-5+-15+-10+-10+-6</f>
        <v>-46</v>
      </c>
      <c r="L93" s="39">
        <v>-30</v>
      </c>
      <c r="M93" s="15"/>
      <c r="N93" s="73">
        <f t="shared" si="29"/>
        <v>1793.0739999999998</v>
      </c>
      <c r="O93" s="88">
        <f t="shared" si="30"/>
        <v>-0.15519385922426157</v>
      </c>
    </row>
    <row r="94" spans="1:16" ht="12.75">
      <c r="A94" s="4" t="s">
        <v>90</v>
      </c>
      <c r="B94" s="38">
        <v>384.422</v>
      </c>
      <c r="C94" s="39">
        <v>51.595</v>
      </c>
      <c r="D94" s="107">
        <f t="shared" si="28"/>
        <v>436.01700000000005</v>
      </c>
      <c r="E94" s="106"/>
      <c r="F94" s="106"/>
      <c r="G94" s="106"/>
      <c r="H94" s="106"/>
      <c r="I94" s="106"/>
      <c r="J94" s="106"/>
      <c r="K94" s="106"/>
      <c r="L94" s="106"/>
      <c r="M94" s="106"/>
      <c r="N94" s="107">
        <f t="shared" si="29"/>
        <v>436.01700000000005</v>
      </c>
      <c r="O94" s="108">
        <f t="shared" si="30"/>
        <v>0.13421448304207362</v>
      </c>
      <c r="P94" s="109"/>
    </row>
    <row r="95" spans="1:15" ht="12.75">
      <c r="A95" s="3" t="s">
        <v>16</v>
      </c>
      <c r="B95" s="38">
        <f>2682.405+-2.567</f>
        <v>2679.838</v>
      </c>
      <c r="C95" s="39">
        <v>0</v>
      </c>
      <c r="D95" s="12">
        <f t="shared" si="28"/>
        <v>2679.838</v>
      </c>
      <c r="E95" s="39"/>
      <c r="F95" s="15"/>
      <c r="G95" s="15"/>
      <c r="H95" s="39"/>
      <c r="I95" s="15">
        <f>-10</f>
        <v>-10</v>
      </c>
      <c r="J95" s="39"/>
      <c r="K95" s="15"/>
      <c r="L95" s="39">
        <v>-110</v>
      </c>
      <c r="M95" s="15"/>
      <c r="N95" s="73">
        <f t="shared" si="29"/>
        <v>2559.838</v>
      </c>
      <c r="O95" s="88">
        <f t="shared" si="30"/>
        <v>-0.04477882618277672</v>
      </c>
    </row>
    <row r="96" spans="1:15" ht="12.75">
      <c r="A96" s="3" t="s">
        <v>99</v>
      </c>
      <c r="B96" s="38">
        <v>446.257</v>
      </c>
      <c r="C96" s="39">
        <v>-52.783</v>
      </c>
      <c r="D96" s="12">
        <f>B96+C96</f>
        <v>393.474</v>
      </c>
      <c r="E96" s="39"/>
      <c r="F96" s="15"/>
      <c r="G96" s="15"/>
      <c r="H96" s="39"/>
      <c r="I96" s="15">
        <v>-5</v>
      </c>
      <c r="J96" s="39"/>
      <c r="K96" s="15"/>
      <c r="L96" s="39"/>
      <c r="M96" s="15"/>
      <c r="N96" s="73">
        <f>+D96+SUM(E96:M96)</f>
        <v>388.474</v>
      </c>
      <c r="O96" s="88">
        <f>+(N96-B96)/B96</f>
        <v>-0.1294836831691156</v>
      </c>
    </row>
    <row r="97" spans="1:15" ht="12.75">
      <c r="A97" s="7"/>
      <c r="B97" s="74"/>
      <c r="C97" s="41"/>
      <c r="D97" s="16"/>
      <c r="E97" s="41"/>
      <c r="F97" s="17"/>
      <c r="G97" s="17"/>
      <c r="H97" s="41"/>
      <c r="I97" s="17"/>
      <c r="J97" s="41"/>
      <c r="K97" s="15"/>
      <c r="L97" s="39"/>
      <c r="M97" s="15"/>
      <c r="N97" s="74"/>
      <c r="O97" s="86"/>
    </row>
    <row r="98" spans="1:15" ht="12.75" customHeight="1">
      <c r="A98" s="5" t="s">
        <v>70</v>
      </c>
      <c r="B98" s="32">
        <f aca="true" t="shared" si="31" ref="B98:N98">+SUM(B99:B101)</f>
        <v>415.575</v>
      </c>
      <c r="C98" s="33">
        <f t="shared" si="31"/>
        <v>31.079000000000008</v>
      </c>
      <c r="D98" s="9">
        <f>+SUM(D99:D101)</f>
        <v>446.65400000000005</v>
      </c>
      <c r="E98" s="33">
        <f t="shared" si="31"/>
        <v>0</v>
      </c>
      <c r="F98" s="10">
        <f t="shared" si="31"/>
        <v>0</v>
      </c>
      <c r="G98" s="10">
        <f t="shared" si="31"/>
        <v>0</v>
      </c>
      <c r="H98" s="33">
        <f t="shared" si="31"/>
        <v>0</v>
      </c>
      <c r="I98" s="10">
        <f t="shared" si="31"/>
        <v>0</v>
      </c>
      <c r="J98" s="33">
        <f t="shared" si="31"/>
        <v>0</v>
      </c>
      <c r="K98" s="10">
        <f t="shared" si="31"/>
        <v>-16</v>
      </c>
      <c r="L98" s="33">
        <f t="shared" si="31"/>
        <v>0</v>
      </c>
      <c r="M98" s="10">
        <f t="shared" si="31"/>
        <v>19</v>
      </c>
      <c r="N98" s="32">
        <f t="shared" si="31"/>
        <v>449.65400000000005</v>
      </c>
      <c r="O98" s="87">
        <f>+(N98-B98)/B98</f>
        <v>0.08200445166335815</v>
      </c>
    </row>
    <row r="99" spans="1:15" ht="12.75">
      <c r="A99" s="20" t="s">
        <v>14</v>
      </c>
      <c r="B99" s="38">
        <v>34.179</v>
      </c>
      <c r="C99" s="43">
        <v>-48.541</v>
      </c>
      <c r="D99" s="12">
        <f>B99+C99</f>
        <v>-14.361999999999995</v>
      </c>
      <c r="E99" s="43"/>
      <c r="F99" s="23"/>
      <c r="G99" s="23"/>
      <c r="H99" s="43"/>
      <c r="I99" s="23"/>
      <c r="J99" s="43"/>
      <c r="K99" s="23">
        <f>-9</f>
        <v>-9</v>
      </c>
      <c r="L99" s="43"/>
      <c r="M99" s="23"/>
      <c r="N99" s="73">
        <f>+D99+SUM(E99:M99)</f>
        <v>-23.361999999999995</v>
      </c>
      <c r="O99" s="88">
        <f>+(N99-B99)/B99</f>
        <v>-1.6835191199274406</v>
      </c>
    </row>
    <row r="100" spans="1:15" ht="12.75">
      <c r="A100" s="20" t="s">
        <v>52</v>
      </c>
      <c r="B100" s="38">
        <v>354.043</v>
      </c>
      <c r="C100" s="43">
        <v>79.62</v>
      </c>
      <c r="D100" s="12">
        <f>B100+C100</f>
        <v>433.663</v>
      </c>
      <c r="E100" s="43"/>
      <c r="F100" s="23"/>
      <c r="G100" s="23"/>
      <c r="H100" s="43"/>
      <c r="I100" s="23"/>
      <c r="J100" s="43"/>
      <c r="K100" s="23">
        <f>-2+-4+-1</f>
        <v>-7</v>
      </c>
      <c r="L100" s="43"/>
      <c r="M100" s="23">
        <v>5</v>
      </c>
      <c r="N100" s="73">
        <f>+D100+SUM(E100:M100)</f>
        <v>431.663</v>
      </c>
      <c r="O100" s="88">
        <f>+(N100-B100)/B100</f>
        <v>0.2192389060085922</v>
      </c>
    </row>
    <row r="101" spans="1:15" ht="12.75">
      <c r="A101" s="20" t="s">
        <v>15</v>
      </c>
      <c r="B101" s="38">
        <v>27.353</v>
      </c>
      <c r="C101" s="43">
        <v>0</v>
      </c>
      <c r="D101" s="12">
        <f>B101+C101</f>
        <v>27.353</v>
      </c>
      <c r="E101" s="43"/>
      <c r="F101" s="23"/>
      <c r="G101" s="23"/>
      <c r="H101" s="43"/>
      <c r="I101" s="23"/>
      <c r="J101" s="43"/>
      <c r="K101" s="23"/>
      <c r="L101" s="43"/>
      <c r="M101" s="23">
        <f>-10+24</f>
        <v>14</v>
      </c>
      <c r="N101" s="73">
        <f>+D101+SUM(E101:M101)</f>
        <v>41.353</v>
      </c>
      <c r="O101" s="88">
        <f>+(N101-B101)/B101</f>
        <v>0.5118268562863305</v>
      </c>
    </row>
    <row r="102" spans="1:15" ht="12.75">
      <c r="A102" s="5"/>
      <c r="B102" s="73"/>
      <c r="C102" s="36"/>
      <c r="D102" s="12"/>
      <c r="E102" s="36"/>
      <c r="F102" s="13"/>
      <c r="G102" s="13"/>
      <c r="H102" s="36"/>
      <c r="I102" s="13"/>
      <c r="J102" s="36"/>
      <c r="K102" s="13"/>
      <c r="L102" s="36"/>
      <c r="M102" s="13"/>
      <c r="N102" s="73"/>
      <c r="O102" s="86"/>
    </row>
    <row r="103" spans="1:15" s="31" customFormat="1" ht="41.25" customHeight="1">
      <c r="A103" s="59" t="s">
        <v>71</v>
      </c>
      <c r="B103" s="83">
        <f aca="true" t="shared" si="32" ref="B103:N103">+B5+B25+B63</f>
        <v>19897.213</v>
      </c>
      <c r="C103" s="60">
        <f t="shared" si="32"/>
        <v>-158.65289999999993</v>
      </c>
      <c r="D103" s="64">
        <f>+D5+D25+D63</f>
        <v>19738.560100000002</v>
      </c>
      <c r="E103" s="60">
        <f t="shared" si="32"/>
        <v>0</v>
      </c>
      <c r="F103" s="63">
        <f t="shared" si="32"/>
        <v>0</v>
      </c>
      <c r="G103" s="63">
        <f t="shared" si="32"/>
        <v>249</v>
      </c>
      <c r="H103" s="60">
        <f t="shared" si="32"/>
        <v>814</v>
      </c>
      <c r="I103" s="63">
        <f t="shared" si="32"/>
        <v>-891</v>
      </c>
      <c r="J103" s="60">
        <f t="shared" si="32"/>
        <v>-7</v>
      </c>
      <c r="K103" s="63">
        <f t="shared" si="32"/>
        <v>-1292</v>
      </c>
      <c r="L103" s="63">
        <f t="shared" si="32"/>
        <v>-224</v>
      </c>
      <c r="M103" s="63">
        <f t="shared" si="32"/>
        <v>450</v>
      </c>
      <c r="N103" s="83">
        <f t="shared" si="32"/>
        <v>18837.560100000002</v>
      </c>
      <c r="O103" s="90">
        <f>+(N103-B103)/B103</f>
        <v>-0.05325634801215614</v>
      </c>
    </row>
    <row r="104" spans="1:14" ht="12.7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5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46"/>
    </row>
    <row r="106" spans="1:15" ht="12.75" hidden="1" outlineLevel="1">
      <c r="A106" s="76" t="s">
        <v>10</v>
      </c>
      <c r="B106" s="38">
        <v>2793.399</v>
      </c>
      <c r="C106" s="24">
        <v>159</v>
      </c>
      <c r="D106" s="77">
        <f>B106+C106</f>
        <v>2952.399</v>
      </c>
      <c r="E106" s="24">
        <f>1734.415-D106+159+27.9-290+150</f>
        <v>-1171.0839999999998</v>
      </c>
      <c r="F106" s="24"/>
      <c r="G106" s="24"/>
      <c r="H106" s="24"/>
      <c r="I106" s="24"/>
      <c r="J106" s="24"/>
      <c r="K106" s="24"/>
      <c r="L106" s="24"/>
      <c r="M106" s="24"/>
      <c r="N106" s="77">
        <f>+D106+SUM(E106:M106)</f>
        <v>1781.315</v>
      </c>
      <c r="O106" s="37"/>
    </row>
    <row r="107" spans="1:15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77"/>
      <c r="O107" s="46"/>
    </row>
    <row r="108" spans="1:15" ht="12.75" hidden="1" outlineLevel="1">
      <c r="A108" s="76" t="s">
        <v>4</v>
      </c>
      <c r="B108" s="38">
        <v>2336.166</v>
      </c>
      <c r="C108" s="24"/>
      <c r="D108" s="77">
        <f>B108+C108</f>
        <v>2336.166</v>
      </c>
      <c r="E108" s="24">
        <f>2852.583-D108</f>
        <v>516.4169999999999</v>
      </c>
      <c r="F108" s="24"/>
      <c r="G108" s="24"/>
      <c r="H108" s="24"/>
      <c r="I108" s="24"/>
      <c r="J108" s="24"/>
      <c r="K108" s="24"/>
      <c r="L108" s="24"/>
      <c r="M108" s="24"/>
      <c r="N108" s="77">
        <f>+D108+SUM(E108:M108)</f>
        <v>2852.583</v>
      </c>
      <c r="O108" s="37"/>
    </row>
    <row r="109" spans="1:15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46"/>
    </row>
    <row r="110" spans="1:15" ht="15.75" hidden="1" outlineLevel="1">
      <c r="A110" s="75" t="s">
        <v>13</v>
      </c>
      <c r="B110" s="32">
        <f aca="true" t="shared" si="33" ref="B110:M110">+SUM(B103:B109)</f>
        <v>25026.778000000002</v>
      </c>
      <c r="C110" s="47">
        <f>+SUM(C103:C109)</f>
        <v>0.3471000000000686</v>
      </c>
      <c r="D110" s="47">
        <f t="shared" si="33"/>
        <v>25027.125100000005</v>
      </c>
      <c r="E110" s="47">
        <f t="shared" si="33"/>
        <v>-654.6669999999999</v>
      </c>
      <c r="F110" s="47">
        <f t="shared" si="33"/>
        <v>0</v>
      </c>
      <c r="G110" s="47">
        <f t="shared" si="33"/>
        <v>249</v>
      </c>
      <c r="H110" s="47">
        <f t="shared" si="33"/>
        <v>814</v>
      </c>
      <c r="I110" s="47">
        <f t="shared" si="33"/>
        <v>-891</v>
      </c>
      <c r="J110" s="47">
        <f t="shared" si="33"/>
        <v>-7</v>
      </c>
      <c r="K110" s="47">
        <f t="shared" si="33"/>
        <v>-1292</v>
      </c>
      <c r="L110" s="47">
        <f t="shared" si="33"/>
        <v>-224</v>
      </c>
      <c r="M110" s="47">
        <f t="shared" si="33"/>
        <v>450</v>
      </c>
      <c r="N110" s="47">
        <f>+SUM(N103:N109)</f>
        <v>23471.4581</v>
      </c>
      <c r="O110" s="37"/>
    </row>
    <row r="111" spans="1:15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46"/>
    </row>
    <row r="112" spans="1:15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46"/>
    </row>
    <row r="113" spans="1:15" ht="12.75" hidden="1" outlineLevel="1">
      <c r="A113" s="76" t="s">
        <v>6</v>
      </c>
      <c r="B113" s="38">
        <v>0</v>
      </c>
      <c r="C113" s="24"/>
      <c r="D113" s="77">
        <f>B113+C113</f>
        <v>0</v>
      </c>
      <c r="E113" s="24">
        <v>0</v>
      </c>
      <c r="F113" s="24"/>
      <c r="G113" s="24"/>
      <c r="H113" s="24"/>
      <c r="I113" s="24"/>
      <c r="J113" s="24"/>
      <c r="K113" s="24"/>
      <c r="L113" s="24"/>
      <c r="M113" s="24"/>
      <c r="N113" s="77">
        <f>+D113+SUM(E113:M113)</f>
        <v>0</v>
      </c>
      <c r="O113" s="37"/>
    </row>
    <row r="114" spans="1:15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46"/>
    </row>
    <row r="115" spans="1:15" ht="15.75" hidden="1" outlineLevel="1">
      <c r="A115" s="75" t="s">
        <v>7</v>
      </c>
      <c r="B115" s="32">
        <f>+SUM(B110,B113)</f>
        <v>25026.778000000002</v>
      </c>
      <c r="C115" s="47">
        <f>+SUM(C110,C113)</f>
        <v>0.3471000000000686</v>
      </c>
      <c r="D115" s="47">
        <f>+SUM(D110,D113)</f>
        <v>25027.125100000005</v>
      </c>
      <c r="E115" s="47">
        <f aca="true" t="shared" si="34" ref="E115:M115">+SUM(E110,E113)</f>
        <v>-654.6669999999999</v>
      </c>
      <c r="F115" s="47">
        <f t="shared" si="34"/>
        <v>0</v>
      </c>
      <c r="G115" s="47">
        <f t="shared" si="34"/>
        <v>249</v>
      </c>
      <c r="H115" s="47">
        <f t="shared" si="34"/>
        <v>814</v>
      </c>
      <c r="I115" s="47">
        <f t="shared" si="34"/>
        <v>-891</v>
      </c>
      <c r="J115" s="47">
        <f t="shared" si="34"/>
        <v>-7</v>
      </c>
      <c r="K115" s="47">
        <f t="shared" si="34"/>
        <v>-1292</v>
      </c>
      <c r="L115" s="47">
        <f t="shared" si="34"/>
        <v>-224</v>
      </c>
      <c r="M115" s="47">
        <f t="shared" si="34"/>
        <v>450</v>
      </c>
      <c r="N115" s="47">
        <f>+SUM(N110,N113)</f>
        <v>23471.4581</v>
      </c>
      <c r="O115" s="48"/>
    </row>
    <row r="116" spans="1:15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46"/>
    </row>
    <row r="117" spans="1:15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46"/>
    </row>
    <row r="118" spans="1:15" ht="15.75" hidden="1" outlineLevel="1">
      <c r="A118" s="75" t="s">
        <v>8</v>
      </c>
      <c r="B118" s="32">
        <f>+SUM(B119:B123)</f>
        <v>-25026.850000000002</v>
      </c>
      <c r="C118" s="47">
        <f>+SUM(C119:C123)</f>
        <v>0</v>
      </c>
      <c r="D118" s="47">
        <f>+SUM(D119:D123)</f>
        <v>-25026.850000000002</v>
      </c>
      <c r="E118" s="47">
        <f>+SUM(E119:E123)</f>
        <v>1555.6440000000002</v>
      </c>
      <c r="F118" s="47">
        <f aca="true" t="shared" si="35" ref="F118:N118">+SUM(F119:F123)</f>
        <v>0</v>
      </c>
      <c r="G118" s="47">
        <f t="shared" si="35"/>
        <v>0</v>
      </c>
      <c r="H118" s="47">
        <f t="shared" si="35"/>
        <v>0</v>
      </c>
      <c r="I118" s="47">
        <f t="shared" si="35"/>
        <v>0</v>
      </c>
      <c r="J118" s="47">
        <f t="shared" si="35"/>
        <v>0</v>
      </c>
      <c r="K118" s="47">
        <f t="shared" si="35"/>
        <v>0</v>
      </c>
      <c r="L118" s="47">
        <f t="shared" si="35"/>
        <v>0</v>
      </c>
      <c r="M118" s="47">
        <f t="shared" si="35"/>
        <v>0</v>
      </c>
      <c r="N118" s="47">
        <f t="shared" si="35"/>
        <v>-23471.206</v>
      </c>
      <c r="O118" s="37"/>
    </row>
    <row r="119" spans="1:15" ht="12.75" hidden="1" outlineLevel="1">
      <c r="A119" s="76" t="s">
        <v>108</v>
      </c>
      <c r="B119" s="38">
        <v>-8219</v>
      </c>
      <c r="C119" s="24"/>
      <c r="D119" s="77">
        <f>B119+C119</f>
        <v>-8219</v>
      </c>
      <c r="E119" s="24">
        <f>-6402--8219</f>
        <v>1817</v>
      </c>
      <c r="F119" s="24"/>
      <c r="G119" s="24"/>
      <c r="H119" s="24"/>
      <c r="I119" s="24"/>
      <c r="J119" s="24"/>
      <c r="K119" s="24"/>
      <c r="L119" s="24"/>
      <c r="M119" s="24"/>
      <c r="N119" s="77">
        <f>+D119+SUM(E119:M119)</f>
        <v>-6402</v>
      </c>
      <c r="O119" s="37"/>
    </row>
    <row r="120" spans="1:15" ht="12.75" hidden="1" outlineLevel="1">
      <c r="A120" s="76" t="s">
        <v>109</v>
      </c>
      <c r="B120" s="38">
        <v>-5660.952</v>
      </c>
      <c r="C120" s="24"/>
      <c r="D120" s="77">
        <f>B120+C120</f>
        <v>-5660.952</v>
      </c>
      <c r="E120" s="24">
        <f>-5637.74+5661</f>
        <v>23.26000000000022</v>
      </c>
      <c r="F120" s="24"/>
      <c r="G120" s="24"/>
      <c r="H120" s="24"/>
      <c r="I120" s="24"/>
      <c r="J120" s="24"/>
      <c r="K120" s="24"/>
      <c r="L120" s="24"/>
      <c r="M120" s="24"/>
      <c r="N120" s="77">
        <f>+D120+SUM(E120:M120)</f>
        <v>-5637.692</v>
      </c>
      <c r="O120" s="37"/>
    </row>
    <row r="121" spans="1:15" ht="12.75" hidden="1" outlineLevel="1">
      <c r="A121" s="80" t="s">
        <v>110</v>
      </c>
      <c r="B121" s="38">
        <v>-11228.07</v>
      </c>
      <c r="C121" s="24"/>
      <c r="D121" s="77">
        <f>B121+C121</f>
        <v>-11228.07</v>
      </c>
      <c r="E121" s="24">
        <f>-11585.616+11228</f>
        <v>-357.616</v>
      </c>
      <c r="F121" s="24"/>
      <c r="G121" s="24"/>
      <c r="H121" s="24"/>
      <c r="I121" s="24"/>
      <c r="J121" s="24"/>
      <c r="K121" s="24"/>
      <c r="L121" s="24"/>
      <c r="M121" s="24"/>
      <c r="N121" s="77">
        <f>+D121+SUM(E121:M121)</f>
        <v>-11585.686</v>
      </c>
      <c r="O121" s="37"/>
    </row>
    <row r="122" spans="1:15" ht="12.75" hidden="1" outlineLevel="1">
      <c r="A122" s="80" t="s">
        <v>111</v>
      </c>
      <c r="B122" s="38">
        <v>154.172</v>
      </c>
      <c r="C122" s="24"/>
      <c r="D122" s="77">
        <f>B122+C122</f>
        <v>154.172</v>
      </c>
      <c r="E122" s="24">
        <f>-200+200</f>
        <v>0</v>
      </c>
      <c r="F122" s="24"/>
      <c r="G122" s="24"/>
      <c r="H122" s="24"/>
      <c r="I122" s="24"/>
      <c r="J122" s="24"/>
      <c r="K122" s="24"/>
      <c r="L122" s="24"/>
      <c r="M122" s="24"/>
      <c r="N122" s="77">
        <f>+D122+SUM(E122:M122)</f>
        <v>154.172</v>
      </c>
      <c r="O122" s="37"/>
    </row>
    <row r="123" spans="1:15" ht="12.75" hidden="1" outlineLevel="1">
      <c r="A123" s="80" t="s">
        <v>112</v>
      </c>
      <c r="B123" s="38">
        <v>-73</v>
      </c>
      <c r="C123" s="24"/>
      <c r="D123" s="77">
        <f>B123+C123</f>
        <v>-73</v>
      </c>
      <c r="E123" s="24">
        <v>73</v>
      </c>
      <c r="F123" s="24"/>
      <c r="G123" s="24"/>
      <c r="H123" s="24"/>
      <c r="I123" s="24"/>
      <c r="J123" s="24"/>
      <c r="K123" s="24"/>
      <c r="L123" s="24"/>
      <c r="M123" s="24"/>
      <c r="N123" s="77">
        <f>+D123+SUM(E123:M123)</f>
        <v>0</v>
      </c>
      <c r="O123" s="37"/>
    </row>
    <row r="124" spans="1:15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46"/>
    </row>
    <row r="125" spans="1:15" ht="12.75" hidden="1" outlineLevel="1">
      <c r="A125" s="76" t="s">
        <v>9</v>
      </c>
      <c r="B125" s="38">
        <f>+SUM(B118,B115)</f>
        <v>-0.07200000000011642</v>
      </c>
      <c r="C125" s="24">
        <f>+SUM(C118,C115)</f>
        <v>0.3471000000000686</v>
      </c>
      <c r="D125" s="24">
        <f>+SUM(D118,D115)</f>
        <v>0.27510000000256696</v>
      </c>
      <c r="E125" s="24">
        <f aca="true" t="shared" si="36" ref="E125:N125">+SUM(E118,E115)</f>
        <v>900.9770000000003</v>
      </c>
      <c r="F125" s="24">
        <f t="shared" si="36"/>
        <v>0</v>
      </c>
      <c r="G125" s="24">
        <f t="shared" si="36"/>
        <v>249</v>
      </c>
      <c r="H125" s="24">
        <f t="shared" si="36"/>
        <v>814</v>
      </c>
      <c r="I125" s="24">
        <f t="shared" si="36"/>
        <v>-891</v>
      </c>
      <c r="J125" s="24">
        <f t="shared" si="36"/>
        <v>-7</v>
      </c>
      <c r="K125" s="24">
        <f t="shared" si="36"/>
        <v>-1292</v>
      </c>
      <c r="L125" s="24">
        <f t="shared" si="36"/>
        <v>-224</v>
      </c>
      <c r="M125" s="24">
        <f t="shared" si="36"/>
        <v>450</v>
      </c>
      <c r="N125" s="24">
        <f t="shared" si="36"/>
        <v>0.2521000000015192</v>
      </c>
      <c r="O125" s="37"/>
    </row>
    <row r="126" ht="12.75" collapsed="1"/>
    <row r="127" spans="5:14" ht="12.75">
      <c r="E127" s="41"/>
      <c r="N127" s="41"/>
    </row>
    <row r="128" ht="12.75"/>
    <row r="129" ht="12.75">
      <c r="N129" s="41"/>
    </row>
    <row r="130" ht="12.75"/>
  </sheetData>
  <sheetProtection/>
  <autoFilter ref="A4:O103"/>
  <mergeCells count="1">
    <mergeCell ref="A1:O1"/>
  </mergeCells>
  <conditionalFormatting sqref="O102 O97 O85 O71 O62 O64 O54 O26 O24 O19 O3:O4 O6 O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0" fitToWidth="1" horizontalDpi="600" verticalDpi="600" orientation="landscape" paperSize="9" scale="55" r:id="rId3"/>
  <headerFooter alignWithMargins="0">
    <oddHeader>&amp;R&amp;16Appendix 2</oddHeader>
    <oddFooter>&amp;C&amp;P</oddFooter>
  </headerFooter>
  <rowBreaks count="2" manualBreakCount="2">
    <brk id="47" max="14" man="1"/>
    <brk id="96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="70" zoomScaleNormal="70" zoomScalePageLayoutView="0" workbookViewId="0" topLeftCell="A1">
      <pane xSplit="1" ySplit="4" topLeftCell="B82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C158" sqref="C158"/>
    </sheetView>
  </sheetViews>
  <sheetFormatPr defaultColWidth="9.140625" defaultRowHeight="12.75" outlineLevelRow="1"/>
  <cols>
    <col min="1" max="1" width="44.00390625" style="40" customWidth="1"/>
    <col min="2" max="2" width="17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140625" style="29" customWidth="1"/>
    <col min="13" max="13" width="11.7109375" style="27" customWidth="1"/>
    <col min="14" max="14" width="1.57421875" style="29" customWidth="1"/>
    <col min="15" max="16384" width="9.140625" style="29" customWidth="1"/>
  </cols>
  <sheetData>
    <row r="1" spans="1:13" ht="27.75">
      <c r="A1" s="118" t="s">
        <v>114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18"/>
      <c r="B3" s="1" t="s">
        <v>107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91</v>
      </c>
      <c r="M3" s="51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66" t="s">
        <v>54</v>
      </c>
      <c r="F4" s="67" t="s">
        <v>54</v>
      </c>
      <c r="G4" s="66" t="s">
        <v>54</v>
      </c>
      <c r="H4" s="67" t="s">
        <v>54</v>
      </c>
      <c r="I4" s="66" t="s">
        <v>54</v>
      </c>
      <c r="J4" s="67" t="s">
        <v>54</v>
      </c>
      <c r="K4" s="66" t="s">
        <v>54</v>
      </c>
      <c r="L4" s="70" t="s">
        <v>54</v>
      </c>
      <c r="M4" s="69"/>
    </row>
    <row r="5" spans="1:13" s="31" customFormat="1" ht="15.75">
      <c r="A5" s="52" t="s">
        <v>41</v>
      </c>
      <c r="B5" s="25">
        <f>+B7+B14+B20</f>
        <v>108.7380000000012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43</v>
      </c>
      <c r="G5" s="30">
        <f t="shared" si="0"/>
        <v>-385</v>
      </c>
      <c r="H5" s="26">
        <f t="shared" si="0"/>
        <v>2</v>
      </c>
      <c r="I5" s="30">
        <f t="shared" si="0"/>
        <v>-65</v>
      </c>
      <c r="J5" s="26">
        <f t="shared" si="0"/>
        <v>-86</v>
      </c>
      <c r="K5" s="30">
        <f t="shared" si="0"/>
        <v>-275</v>
      </c>
      <c r="L5" s="25">
        <f>+L7+L14+L20</f>
        <v>-657.2619999999988</v>
      </c>
      <c r="M5" s="53">
        <f>+(L5-B5)/B5</f>
        <v>-7.044455480144858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1787.5030000000002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40</v>
      </c>
      <c r="G7" s="34">
        <f t="shared" si="1"/>
        <v>0</v>
      </c>
      <c r="H7" s="11">
        <f t="shared" si="1"/>
        <v>0</v>
      </c>
      <c r="I7" s="34">
        <f t="shared" si="1"/>
        <v>69</v>
      </c>
      <c r="J7" s="11">
        <f t="shared" si="1"/>
        <v>-86</v>
      </c>
      <c r="K7" s="34">
        <f t="shared" si="1"/>
        <v>-175</v>
      </c>
      <c r="L7" s="9">
        <f>+SUM(L8:L12)</f>
        <v>1635.5030000000002</v>
      </c>
      <c r="M7" s="55">
        <f aca="true" t="shared" si="2" ref="M7:M12">+(L7-B7)/B7</f>
        <v>-0.08503482231917932</v>
      </c>
    </row>
    <row r="8" spans="1:13" ht="12.75">
      <c r="A8" s="2" t="s">
        <v>43</v>
      </c>
      <c r="B8" s="12">
        <f>'2014-15'!N8</f>
        <v>12.565999999999999</v>
      </c>
      <c r="C8" s="36"/>
      <c r="D8" s="13"/>
      <c r="E8" s="36"/>
      <c r="F8" s="13"/>
      <c r="G8" s="36"/>
      <c r="H8" s="13"/>
      <c r="I8" s="36"/>
      <c r="J8" s="13">
        <v>-11</v>
      </c>
      <c r="K8" s="36"/>
      <c r="L8" s="12">
        <f>+B8+SUM(C8:K8)</f>
        <v>1.565999999999999</v>
      </c>
      <c r="M8" s="56">
        <f t="shared" si="2"/>
        <v>-0.8753780041381506</v>
      </c>
    </row>
    <row r="9" spans="1:13" ht="12.75">
      <c r="A9" s="2" t="s">
        <v>44</v>
      </c>
      <c r="B9" s="12">
        <f>'2014-15'!N9</f>
        <v>77.22500000000001</v>
      </c>
      <c r="C9" s="36"/>
      <c r="D9" s="13"/>
      <c r="E9" s="36"/>
      <c r="F9" s="13"/>
      <c r="G9" s="36"/>
      <c r="H9" s="13"/>
      <c r="I9" s="36">
        <f>-3+-3</f>
        <v>-6</v>
      </c>
      <c r="J9" s="13"/>
      <c r="K9" s="36"/>
      <c r="L9" s="12">
        <f>+B9+SUM(C9:K9)</f>
        <v>71.22500000000001</v>
      </c>
      <c r="M9" s="56">
        <f t="shared" si="2"/>
        <v>-0.07769504694075752</v>
      </c>
    </row>
    <row r="10" spans="1:13" ht="12.75">
      <c r="A10" s="2" t="s">
        <v>68</v>
      </c>
      <c r="B10" s="12">
        <f>'2014-15'!N10</f>
        <v>582.351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582.351</v>
      </c>
      <c r="M10" s="56">
        <f t="shared" si="2"/>
        <v>0</v>
      </c>
    </row>
    <row r="11" spans="1:13" ht="12.75">
      <c r="A11" s="2" t="s">
        <v>45</v>
      </c>
      <c r="B11" s="12">
        <f>'2014-15'!N11</f>
        <v>-31.374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-31.374</v>
      </c>
      <c r="M11" s="56">
        <f t="shared" si="2"/>
        <v>0</v>
      </c>
    </row>
    <row r="12" spans="1:13" ht="12.75">
      <c r="A12" s="2" t="s">
        <v>61</v>
      </c>
      <c r="B12" s="12">
        <f>'2014-15'!N12</f>
        <v>1146.7350000000001</v>
      </c>
      <c r="C12" s="36"/>
      <c r="D12" s="13"/>
      <c r="E12" s="36"/>
      <c r="F12" s="13">
        <v>40</v>
      </c>
      <c r="G12" s="36"/>
      <c r="H12" s="13"/>
      <c r="I12" s="36">
        <f>25+25+25</f>
        <v>75</v>
      </c>
      <c r="J12" s="13">
        <v>-75</v>
      </c>
      <c r="K12" s="36">
        <f>-25+-150</f>
        <v>-175</v>
      </c>
      <c r="L12" s="12">
        <f>+B12+SUM(C12:K12)</f>
        <v>1011.7350000000001</v>
      </c>
      <c r="M12" s="56">
        <f t="shared" si="2"/>
        <v>-0.11772554251854175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-5070.236999999999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-34</v>
      </c>
      <c r="J14" s="10">
        <f t="shared" si="3"/>
        <v>0</v>
      </c>
      <c r="K14" s="33">
        <f t="shared" si="3"/>
        <v>-100</v>
      </c>
      <c r="L14" s="9">
        <f>+SUM(L15:L18)</f>
        <v>-5202.236999999999</v>
      </c>
      <c r="M14" s="55">
        <f>+(L14-B14)/B14</f>
        <v>0.026034285971247503</v>
      </c>
    </row>
    <row r="15" spans="1:13" ht="12.75">
      <c r="A15" s="4" t="s">
        <v>62</v>
      </c>
      <c r="B15" s="12">
        <f>'2014-15'!N15</f>
        <v>-6212.509</v>
      </c>
      <c r="C15" s="39"/>
      <c r="D15" s="15"/>
      <c r="E15" s="39"/>
      <c r="F15" s="15"/>
      <c r="G15" s="39"/>
      <c r="H15" s="15">
        <v>2</v>
      </c>
      <c r="I15" s="39">
        <f>-12+-22</f>
        <v>-34</v>
      </c>
      <c r="J15" s="15"/>
      <c r="K15" s="39">
        <v>-100</v>
      </c>
      <c r="L15" s="12">
        <f>+B15+SUM(C15:K15)</f>
        <v>-6344.509</v>
      </c>
      <c r="M15" s="56">
        <f>+(L15-B15)/B15</f>
        <v>0.021247454128436673</v>
      </c>
    </row>
    <row r="16" spans="1:13" ht="12.75">
      <c r="A16" s="4" t="s">
        <v>63</v>
      </c>
      <c r="B16" s="12">
        <f>'2014-15'!N16</f>
        <v>479.877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479.877</v>
      </c>
      <c r="M16" s="56">
        <f>+(L16-B16)/B16</f>
        <v>0</v>
      </c>
    </row>
    <row r="17" spans="1:13" ht="12.75">
      <c r="A17" s="4" t="s">
        <v>64</v>
      </c>
      <c r="B17" s="12">
        <f>'2014-15'!N17</f>
        <v>308.317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308.317</v>
      </c>
      <c r="M17" s="56">
        <f>+(L17-B17)/B17</f>
        <v>0</v>
      </c>
    </row>
    <row r="18" spans="1:13" ht="12.75">
      <c r="A18" s="4" t="s">
        <v>68</v>
      </c>
      <c r="B18" s="12">
        <f>'2014-15'!N18</f>
        <v>354.07800000000003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354.07800000000003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3391.472</v>
      </c>
      <c r="C20" s="33">
        <f>+SUM(C21:C22)</f>
        <v>0</v>
      </c>
      <c r="D20" s="10">
        <f>+SUM(D21:D22)</f>
        <v>0</v>
      </c>
      <c r="E20" s="33">
        <f>+SUM(E21:E23)</f>
        <v>0</v>
      </c>
      <c r="F20" s="19">
        <f aca="true" t="shared" si="4" ref="F20:K20">+SUM(F21:F23)</f>
        <v>3</v>
      </c>
      <c r="G20" s="19">
        <f t="shared" si="4"/>
        <v>-385</v>
      </c>
      <c r="H20" s="19">
        <f t="shared" si="4"/>
        <v>0</v>
      </c>
      <c r="I20" s="19">
        <f t="shared" si="4"/>
        <v>-100</v>
      </c>
      <c r="J20" s="19">
        <f t="shared" si="4"/>
        <v>0</v>
      </c>
      <c r="K20" s="19">
        <f t="shared" si="4"/>
        <v>0</v>
      </c>
      <c r="L20" s="110">
        <f>+SUM(L21:L23)</f>
        <v>2909.472</v>
      </c>
      <c r="M20" s="55">
        <f>+(L20-B20)/B20</f>
        <v>-0.14212117924016474</v>
      </c>
    </row>
    <row r="21" spans="1:13" ht="12.75">
      <c r="A21" s="3" t="s">
        <v>17</v>
      </c>
      <c r="B21" s="12">
        <f>'2014-15'!N21</f>
        <v>660.119</v>
      </c>
      <c r="C21" s="39"/>
      <c r="D21" s="15"/>
      <c r="E21" s="39"/>
      <c r="F21" s="15"/>
      <c r="G21" s="39">
        <v>-5</v>
      </c>
      <c r="H21" s="15"/>
      <c r="I21" s="39"/>
      <c r="J21" s="15"/>
      <c r="K21" s="39"/>
      <c r="L21" s="12">
        <f>+B21+SUM(C21:K21)</f>
        <v>655.119</v>
      </c>
      <c r="M21" s="56">
        <f>+(L21-B21)/B21</f>
        <v>-0.007574391889947115</v>
      </c>
    </row>
    <row r="22" spans="1:13" ht="12.75">
      <c r="A22" s="3" t="s">
        <v>18</v>
      </c>
      <c r="B22" s="12">
        <f>'2014-15'!N22</f>
        <v>2821.228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2821.228</v>
      </c>
      <c r="M22" s="56">
        <f>+(L22-B22)/B22</f>
        <v>0</v>
      </c>
    </row>
    <row r="23" spans="1:13" ht="12.75">
      <c r="A23" s="3" t="s">
        <v>106</v>
      </c>
      <c r="B23" s="14">
        <f>'2014-15'!N23</f>
        <v>-89.875</v>
      </c>
      <c r="C23" s="33"/>
      <c r="D23" s="10"/>
      <c r="E23" s="33"/>
      <c r="F23" s="15">
        <v>3</v>
      </c>
      <c r="G23" s="39">
        <f>-50+-30+-300</f>
        <v>-380</v>
      </c>
      <c r="H23" s="10"/>
      <c r="I23" s="39">
        <v>-100</v>
      </c>
      <c r="J23" s="10"/>
      <c r="K23" s="33"/>
      <c r="L23" s="12">
        <f>+B23+SUM(C23:K23)</f>
        <v>-566.875</v>
      </c>
      <c r="M23" s="56">
        <f>+(L23-B23)/B23</f>
        <v>5.307371349095966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5188.4231</v>
      </c>
      <c r="C25" s="30">
        <f t="shared" si="5"/>
        <v>0</v>
      </c>
      <c r="D25" s="26">
        <f t="shared" si="5"/>
        <v>0</v>
      </c>
      <c r="E25" s="30">
        <f t="shared" si="5"/>
        <v>25</v>
      </c>
      <c r="F25" s="26">
        <f t="shared" si="5"/>
        <v>-35</v>
      </c>
      <c r="G25" s="30">
        <f t="shared" si="5"/>
        <v>-759</v>
      </c>
      <c r="H25" s="26">
        <f t="shared" si="5"/>
        <v>38</v>
      </c>
      <c r="I25" s="30">
        <f t="shared" si="5"/>
        <v>-75</v>
      </c>
      <c r="J25" s="26">
        <f t="shared" si="5"/>
        <v>-28</v>
      </c>
      <c r="K25" s="30">
        <f t="shared" si="5"/>
        <v>0</v>
      </c>
      <c r="L25" s="25">
        <f t="shared" si="5"/>
        <v>4354.4231</v>
      </c>
      <c r="M25" s="53">
        <f>+(L25-B25)/B25</f>
        <v>-0.16074248069707345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232.74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-70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162.74</v>
      </c>
      <c r="M27" s="55">
        <f aca="true" t="shared" si="7" ref="M27:M32">+(L27-B27)/B27</f>
        <v>-0.30076480192489474</v>
      </c>
    </row>
    <row r="28" spans="1:13" ht="12.75">
      <c r="A28" s="2" t="s">
        <v>33</v>
      </c>
      <c r="B28" s="12">
        <f>'2014-15'!N28</f>
        <v>22.437</v>
      </c>
      <c r="C28" s="39"/>
      <c r="D28" s="15"/>
      <c r="E28" s="39"/>
      <c r="F28" s="15"/>
      <c r="G28" s="39">
        <v>-40</v>
      </c>
      <c r="H28" s="15"/>
      <c r="I28" s="39"/>
      <c r="J28" s="15"/>
      <c r="K28" s="39"/>
      <c r="L28" s="12">
        <f>+B28+SUM(C28:K28)</f>
        <v>-17.563</v>
      </c>
      <c r="M28" s="56">
        <f t="shared" si="7"/>
        <v>-1.78276953246869</v>
      </c>
    </row>
    <row r="29" spans="1:13" ht="12.75">
      <c r="A29" s="2" t="s">
        <v>35</v>
      </c>
      <c r="B29" s="12">
        <f>'2014-15'!N29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'2014-15'!N30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'2014-15'!N31</f>
        <v>171.51899999999998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171.51899999999998</v>
      </c>
      <c r="M31" s="56">
        <f t="shared" si="7"/>
        <v>0</v>
      </c>
    </row>
    <row r="32" spans="1:13" ht="12.75">
      <c r="A32" s="2" t="s">
        <v>19</v>
      </c>
      <c r="B32" s="12">
        <f>'2014-15'!N32</f>
        <v>-17.563</v>
      </c>
      <c r="C32" s="39"/>
      <c r="D32" s="15"/>
      <c r="E32" s="39"/>
      <c r="F32" s="15"/>
      <c r="G32" s="39">
        <v>-30</v>
      </c>
      <c r="H32" s="15"/>
      <c r="I32" s="39"/>
      <c r="J32" s="15"/>
      <c r="K32" s="39"/>
      <c r="L32" s="12">
        <f>+B32+SUM(C32:K32)</f>
        <v>-47.563</v>
      </c>
      <c r="M32" s="56">
        <f t="shared" si="7"/>
        <v>1.7081364231623302</v>
      </c>
    </row>
    <row r="33" spans="1:13" ht="15" customHeight="1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2.75">
      <c r="A34" s="5" t="s">
        <v>76</v>
      </c>
      <c r="B34" s="9">
        <f>SUM(B35:B39)</f>
        <v>776.8960999999999</v>
      </c>
      <c r="C34" s="33">
        <f>SUM(C35:C39)</f>
        <v>0</v>
      </c>
      <c r="D34" s="10">
        <f>SUM(D35:D39)</f>
        <v>0</v>
      </c>
      <c r="E34" s="33">
        <f>SUM(E35:E39)</f>
        <v>25</v>
      </c>
      <c r="F34" s="10">
        <f aca="true" t="shared" si="8" ref="F34:L34">SUM(F35:F39)</f>
        <v>0</v>
      </c>
      <c r="G34" s="33">
        <f t="shared" si="8"/>
        <v>-179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622.8960999999999</v>
      </c>
      <c r="M34" s="55">
        <f aca="true" t="shared" si="9" ref="M34:M39">+(L34-B34)/B34</f>
        <v>-0.19822470469345901</v>
      </c>
    </row>
    <row r="35" spans="1:13" ht="12.75">
      <c r="A35" s="99" t="s">
        <v>94</v>
      </c>
      <c r="B35" s="12">
        <f>'2014-15'!N35</f>
        <v>8.109000000000002</v>
      </c>
      <c r="C35" s="39"/>
      <c r="D35" s="15"/>
      <c r="E35" s="39"/>
      <c r="F35" s="15"/>
      <c r="G35" s="39">
        <v>-29</v>
      </c>
      <c r="H35" s="15"/>
      <c r="I35" s="39"/>
      <c r="J35" s="15"/>
      <c r="K35" s="39"/>
      <c r="L35" s="12">
        <f>+B35+SUM(C35:K35)</f>
        <v>-20.891</v>
      </c>
      <c r="M35" s="56">
        <f t="shared" si="9"/>
        <v>-3.5762732766062393</v>
      </c>
    </row>
    <row r="36" spans="1:13" ht="12.75">
      <c r="A36" s="99" t="s">
        <v>0</v>
      </c>
      <c r="B36" s="12">
        <f>'2014-15'!N36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'2014-15'!N37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'2014-15'!N38</f>
        <v>54.184099999999994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54.184099999999994</v>
      </c>
      <c r="M38" s="56">
        <f t="shared" si="9"/>
        <v>0</v>
      </c>
    </row>
    <row r="39" spans="1:13" ht="12.75">
      <c r="A39" s="3" t="s">
        <v>77</v>
      </c>
      <c r="B39" s="12">
        <f>'2014-15'!N39</f>
        <v>419.91700000000003</v>
      </c>
      <c r="C39" s="39"/>
      <c r="D39" s="15"/>
      <c r="E39" s="39">
        <v>25</v>
      </c>
      <c r="F39" s="15"/>
      <c r="G39" s="39">
        <f>-50+-100</f>
        <v>-150</v>
      </c>
      <c r="H39" s="15"/>
      <c r="I39" s="39"/>
      <c r="J39" s="15"/>
      <c r="K39" s="39"/>
      <c r="L39" s="12">
        <f>+B39+SUM(C39:K39)</f>
        <v>294.91700000000003</v>
      </c>
      <c r="M39" s="56">
        <f t="shared" si="9"/>
        <v>-0.2976778744370911</v>
      </c>
    </row>
    <row r="40" spans="1:14" ht="12.75">
      <c r="A40" s="20"/>
      <c r="B40" s="38"/>
      <c r="C40" s="39"/>
      <c r="D40" s="15"/>
      <c r="E40" s="39"/>
      <c r="F40" s="106"/>
      <c r="G40" s="106"/>
      <c r="H40" s="106"/>
      <c r="I40" s="106"/>
      <c r="J40" s="106"/>
      <c r="K40" s="106"/>
      <c r="L40" s="107"/>
      <c r="M40" s="108"/>
      <c r="N40" s="109"/>
    </row>
    <row r="41" spans="1:13" ht="12.75">
      <c r="A41" s="5" t="s">
        <v>39</v>
      </c>
      <c r="B41" s="9">
        <f>+SUM(B42:B46)</f>
        <v>3529.957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0</v>
      </c>
      <c r="G41" s="33">
        <f t="shared" si="10"/>
        <v>-156</v>
      </c>
      <c r="H41" s="10">
        <f t="shared" si="10"/>
        <v>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3411.957</v>
      </c>
      <c r="M41" s="55">
        <f aca="true" t="shared" si="11" ref="M41:M46">+(L41-B41)/B41</f>
        <v>-0.03342816923832217</v>
      </c>
    </row>
    <row r="42" spans="1:13" ht="12.75">
      <c r="A42" s="3" t="s">
        <v>78</v>
      </c>
      <c r="B42" s="12">
        <f>'2014-15'!N42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'2014-15'!N43</f>
        <v>47.317</v>
      </c>
      <c r="C43" s="39"/>
      <c r="D43" s="15"/>
      <c r="E43" s="39"/>
      <c r="F43" s="15"/>
      <c r="G43" s="39">
        <f>-116+-40</f>
        <v>-156</v>
      </c>
      <c r="H43" s="15"/>
      <c r="I43" s="39"/>
      <c r="J43" s="15"/>
      <c r="K43" s="39"/>
      <c r="L43" s="12">
        <f>+B43+SUM(C43:K43)</f>
        <v>-108.68299999999999</v>
      </c>
      <c r="M43" s="56">
        <f t="shared" si="11"/>
        <v>-3.296912314812858</v>
      </c>
    </row>
    <row r="44" spans="1:13" ht="12.75">
      <c r="A44" s="3" t="s">
        <v>19</v>
      </c>
      <c r="B44" s="12">
        <f>'2014-15'!N44</f>
        <v>1162.6609999999998</v>
      </c>
      <c r="C44" s="39"/>
      <c r="D44" s="15"/>
      <c r="E44" s="39"/>
      <c r="F44" s="15"/>
      <c r="G44" s="39"/>
      <c r="H44" s="15">
        <v>38</v>
      </c>
      <c r="I44" s="39"/>
      <c r="J44" s="15"/>
      <c r="K44" s="39"/>
      <c r="L44" s="12">
        <f>+B44+SUM(C44:K44)</f>
        <v>1200.6609999999998</v>
      </c>
      <c r="M44" s="56">
        <f t="shared" si="11"/>
        <v>0.032683645533822844</v>
      </c>
    </row>
    <row r="45" spans="1:13" ht="12.75">
      <c r="A45" s="3" t="s">
        <v>53</v>
      </c>
      <c r="B45" s="12">
        <f>'2014-15'!N45</f>
        <v>2290.114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2290.114</v>
      </c>
      <c r="M45" s="56">
        <f t="shared" si="11"/>
        <v>0</v>
      </c>
    </row>
    <row r="46" spans="1:13" ht="12.75">
      <c r="A46" s="3" t="s">
        <v>80</v>
      </c>
      <c r="B46" s="12">
        <f>'2014-15'!N46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7.25" customHeight="1">
      <c r="A47" s="104"/>
      <c r="B47" s="103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2.75">
      <c r="A48" s="5" t="s">
        <v>84</v>
      </c>
      <c r="B48" s="9">
        <f>+SUM(B49:B53)</f>
        <v>255.488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15</v>
      </c>
      <c r="G48" s="34">
        <f t="shared" si="12"/>
        <v>0</v>
      </c>
      <c r="H48" s="11">
        <f t="shared" si="12"/>
        <v>0</v>
      </c>
      <c r="I48" s="34">
        <f t="shared" si="12"/>
        <v>-70</v>
      </c>
      <c r="J48" s="11">
        <f t="shared" si="12"/>
        <v>0</v>
      </c>
      <c r="K48" s="34">
        <f t="shared" si="12"/>
        <v>0</v>
      </c>
      <c r="L48" s="9">
        <f t="shared" si="12"/>
        <v>200.488</v>
      </c>
      <c r="M48" s="55">
        <f aca="true" t="shared" si="13" ref="M48:M53">+(L48-B48)/B48</f>
        <v>-0.21527429859719438</v>
      </c>
    </row>
    <row r="49" spans="1:13" ht="12.75">
      <c r="A49" s="2" t="s">
        <v>81</v>
      </c>
      <c r="B49" s="12">
        <f>'2014-15'!N49</f>
        <v>129.21699999999998</v>
      </c>
      <c r="C49" s="39"/>
      <c r="D49" s="15"/>
      <c r="E49" s="39"/>
      <c r="F49" s="15"/>
      <c r="G49" s="39"/>
      <c r="H49" s="15"/>
      <c r="I49" s="39">
        <v>-20</v>
      </c>
      <c r="J49" s="15"/>
      <c r="K49" s="39"/>
      <c r="L49" s="12">
        <f>+B49+SUM(C49:K49)</f>
        <v>109.21699999999998</v>
      </c>
      <c r="M49" s="56">
        <f t="shared" si="13"/>
        <v>-0.15477839603148194</v>
      </c>
    </row>
    <row r="50" spans="1:13" ht="12.75">
      <c r="A50" s="2" t="s">
        <v>82</v>
      </c>
      <c r="B50" s="12">
        <f>'2014-15'!N50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'2014-15'!N51</f>
        <v>-5.283999999999999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-5.283999999999999</v>
      </c>
      <c r="M51" s="56">
        <f t="shared" si="13"/>
        <v>0</v>
      </c>
    </row>
    <row r="52" spans="1:13" ht="12.75">
      <c r="A52" s="2" t="s">
        <v>38</v>
      </c>
      <c r="B52" s="12">
        <f>'2014-15'!N52</f>
        <v>4.587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4.587</v>
      </c>
      <c r="M52" s="56">
        <f t="shared" si="13"/>
        <v>0</v>
      </c>
    </row>
    <row r="53" spans="1:13" ht="12.75">
      <c r="A53" s="20" t="s">
        <v>83</v>
      </c>
      <c r="B53" s="12">
        <f>'2014-15'!N53</f>
        <v>126.92800000000001</v>
      </c>
      <c r="C53" s="39"/>
      <c r="D53" s="15"/>
      <c r="E53" s="39"/>
      <c r="F53" s="15">
        <f>40+-25</f>
        <v>15</v>
      </c>
      <c r="G53" s="39"/>
      <c r="H53" s="15"/>
      <c r="I53" s="39">
        <v>-50</v>
      </c>
      <c r="J53" s="15"/>
      <c r="K53" s="39"/>
      <c r="L53" s="12">
        <f>+B53+SUM(C53:K53)</f>
        <v>91.92800000000001</v>
      </c>
      <c r="M53" s="56">
        <f t="shared" si="13"/>
        <v>-0.27574688012101345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393.342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-50</v>
      </c>
      <c r="G55" s="34">
        <f t="shared" si="14"/>
        <v>-354</v>
      </c>
      <c r="H55" s="11">
        <f t="shared" si="14"/>
        <v>0</v>
      </c>
      <c r="I55" s="34">
        <f t="shared" si="14"/>
        <v>-5</v>
      </c>
      <c r="J55" s="11">
        <f t="shared" si="14"/>
        <v>-28</v>
      </c>
      <c r="K55" s="34">
        <f t="shared" si="14"/>
        <v>0</v>
      </c>
      <c r="L55" s="9">
        <f>+SUM(L56:L61)</f>
        <v>-43.658000000000015</v>
      </c>
      <c r="M55" s="55">
        <f aca="true" t="shared" si="15" ref="M55:M61">+(L55-B55)/B55</f>
        <v>-1.1109924696574482</v>
      </c>
    </row>
    <row r="56" spans="1:13" ht="12.75">
      <c r="A56" s="3" t="s">
        <v>1</v>
      </c>
      <c r="B56" s="12">
        <f>'2014-15'!N56</f>
        <v>-0.8959999999999999</v>
      </c>
      <c r="C56" s="39"/>
      <c r="D56" s="15"/>
      <c r="E56" s="39"/>
      <c r="F56" s="15"/>
      <c r="G56" s="39">
        <v>-3</v>
      </c>
      <c r="H56" s="15"/>
      <c r="I56" s="39"/>
      <c r="J56" s="15"/>
      <c r="K56" s="39"/>
      <c r="L56" s="12">
        <f aca="true" t="shared" si="16" ref="L56:L61">+B56+SUM(C56:K56)</f>
        <v>-3.896</v>
      </c>
      <c r="M56" s="56">
        <f t="shared" si="15"/>
        <v>3.348214285714286</v>
      </c>
    </row>
    <row r="57" spans="1:13" ht="12.75">
      <c r="A57" s="3" t="s">
        <v>2</v>
      </c>
      <c r="B57" s="12">
        <f>'2014-15'!N57</f>
        <v>215.981</v>
      </c>
      <c r="C57" s="39"/>
      <c r="D57" s="15"/>
      <c r="E57" s="39"/>
      <c r="F57" s="15"/>
      <c r="G57" s="39">
        <v>-1</v>
      </c>
      <c r="H57" s="15"/>
      <c r="I57" s="39"/>
      <c r="J57" s="15"/>
      <c r="K57" s="39"/>
      <c r="L57" s="12">
        <f t="shared" si="16"/>
        <v>214.981</v>
      </c>
      <c r="M57" s="56">
        <f t="shared" si="15"/>
        <v>-0.004630036901394104</v>
      </c>
    </row>
    <row r="58" spans="1:13" ht="12.75">
      <c r="A58" s="3" t="s">
        <v>48</v>
      </c>
      <c r="B58" s="12">
        <f>'2014-15'!N58</f>
        <v>163.98399999999998</v>
      </c>
      <c r="C58" s="39"/>
      <c r="D58" s="15"/>
      <c r="E58" s="39"/>
      <c r="F58" s="15">
        <v>-50</v>
      </c>
      <c r="G58" s="39"/>
      <c r="H58" s="15"/>
      <c r="I58" s="39">
        <v>-5</v>
      </c>
      <c r="J58" s="15">
        <v>-28</v>
      </c>
      <c r="K58" s="39"/>
      <c r="L58" s="12">
        <f t="shared" si="16"/>
        <v>80.98399999999998</v>
      </c>
      <c r="M58" s="56">
        <f t="shared" si="15"/>
        <v>-0.5061469411649918</v>
      </c>
    </row>
    <row r="59" spans="1:13" ht="12.75">
      <c r="A59" s="3" t="s">
        <v>49</v>
      </c>
      <c r="B59" s="12">
        <f>'2014-15'!N59</f>
        <v>2.466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2.466</v>
      </c>
      <c r="M59" s="56">
        <f t="shared" si="15"/>
        <v>0</v>
      </c>
    </row>
    <row r="60" spans="1:13" ht="12.75">
      <c r="A60" s="3" t="s">
        <v>50</v>
      </c>
      <c r="B60" s="12">
        <f>'2014-15'!N60</f>
        <v>0.29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0.29</v>
      </c>
      <c r="M60" s="56">
        <f t="shared" si="15"/>
        <v>0</v>
      </c>
    </row>
    <row r="61" spans="1:13" ht="12.75">
      <c r="A61" s="3" t="s">
        <v>51</v>
      </c>
      <c r="B61" s="12">
        <f>'2014-15'!N61</f>
        <v>11.517</v>
      </c>
      <c r="C61" s="39"/>
      <c r="D61" s="15"/>
      <c r="E61" s="39"/>
      <c r="F61" s="15"/>
      <c r="G61" s="39">
        <v>-350</v>
      </c>
      <c r="H61" s="15"/>
      <c r="I61" s="39"/>
      <c r="J61" s="15"/>
      <c r="K61" s="39"/>
      <c r="L61" s="12">
        <f t="shared" si="16"/>
        <v>-338.483</v>
      </c>
      <c r="M61" s="56">
        <f t="shared" si="15"/>
        <v>-30.3898584700877</v>
      </c>
    </row>
    <row r="62" spans="1:13" s="31" customFormat="1" ht="1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ht="15.75">
      <c r="A63" s="52" t="s">
        <v>85</v>
      </c>
      <c r="B63" s="25">
        <f>+B65+B72+B86+B98</f>
        <v>13540.399</v>
      </c>
      <c r="C63" s="30">
        <f>+C65+C72+C86+C97</f>
        <v>0</v>
      </c>
      <c r="D63" s="26">
        <f>+D65+D72+D86+D97</f>
        <v>0</v>
      </c>
      <c r="E63" s="30">
        <f aca="true" t="shared" si="17" ref="E63:L63">+E65+E72+E86+E98</f>
        <v>157</v>
      </c>
      <c r="F63" s="26">
        <f t="shared" si="17"/>
        <v>-26</v>
      </c>
      <c r="G63" s="30">
        <f t="shared" si="17"/>
        <v>-650</v>
      </c>
      <c r="H63" s="26">
        <f t="shared" si="17"/>
        <v>-7</v>
      </c>
      <c r="I63" s="30">
        <f t="shared" si="17"/>
        <v>-254</v>
      </c>
      <c r="J63" s="26">
        <f t="shared" si="17"/>
        <v>-36</v>
      </c>
      <c r="K63" s="30">
        <f t="shared" si="17"/>
        <v>-185</v>
      </c>
      <c r="L63" s="25">
        <f t="shared" si="17"/>
        <v>12539.399000000001</v>
      </c>
      <c r="M63" s="53">
        <f>+(L63-B63)/B63</f>
        <v>-0.07392692046962561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2761.1859999999997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-65</v>
      </c>
      <c r="H65" s="10">
        <f t="shared" si="18"/>
        <v>0</v>
      </c>
      <c r="I65" s="33">
        <f t="shared" si="18"/>
        <v>-2</v>
      </c>
      <c r="J65" s="10">
        <f t="shared" si="18"/>
        <v>-19</v>
      </c>
      <c r="K65" s="33">
        <f t="shared" si="18"/>
        <v>3</v>
      </c>
      <c r="L65" s="9">
        <f t="shared" si="18"/>
        <v>2678.1859999999997</v>
      </c>
      <c r="M65" s="55">
        <f aca="true" t="shared" si="19" ref="M65:M70">+(L65-B65)/B65</f>
        <v>-0.030059546875871458</v>
      </c>
    </row>
    <row r="66" spans="1:13" ht="12.75">
      <c r="A66" s="2" t="s">
        <v>96</v>
      </c>
      <c r="B66" s="12">
        <f>'2014-15'!N66</f>
        <v>562.87</v>
      </c>
      <c r="C66" s="39"/>
      <c r="D66" s="15"/>
      <c r="E66" s="39"/>
      <c r="F66" s="15"/>
      <c r="G66" s="39">
        <f>-20+-45</f>
        <v>-65</v>
      </c>
      <c r="H66" s="15"/>
      <c r="I66" s="39"/>
      <c r="J66" s="15"/>
      <c r="K66" s="39">
        <v>3</v>
      </c>
      <c r="L66" s="12">
        <f>+B66+SUM(C66:K66)</f>
        <v>500.87</v>
      </c>
      <c r="M66" s="56">
        <f t="shared" si="19"/>
        <v>-0.11014976815250413</v>
      </c>
    </row>
    <row r="67" spans="1:13" ht="12.75">
      <c r="A67" s="2" t="s">
        <v>47</v>
      </c>
      <c r="B67" s="12">
        <f>'2014-15'!N67</f>
        <v>568.803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568.803</v>
      </c>
      <c r="M67" s="56">
        <f t="shared" si="19"/>
        <v>0</v>
      </c>
    </row>
    <row r="68" spans="1:13" ht="12.75">
      <c r="A68" s="2" t="s">
        <v>97</v>
      </c>
      <c r="B68" s="12">
        <f>'2014-15'!N68</f>
        <v>1380.747</v>
      </c>
      <c r="C68" s="39"/>
      <c r="D68" s="15"/>
      <c r="E68" s="39"/>
      <c r="F68" s="15"/>
      <c r="G68" s="39"/>
      <c r="H68" s="15"/>
      <c r="I68" s="39">
        <f>-2</f>
        <v>-2</v>
      </c>
      <c r="J68" s="15">
        <v>-19</v>
      </c>
      <c r="K68" s="39"/>
      <c r="L68" s="12">
        <f>+B68+SUM(C68:K68)</f>
        <v>1359.747</v>
      </c>
      <c r="M68" s="56">
        <f t="shared" si="19"/>
        <v>-0.015209158520713787</v>
      </c>
    </row>
    <row r="69" spans="1:13" ht="12.75">
      <c r="A69" s="2" t="s">
        <v>105</v>
      </c>
      <c r="B69" s="12">
        <f>'2014-15'!N69</f>
        <v>88.557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88.557</v>
      </c>
      <c r="M69" s="56">
        <f t="shared" si="19"/>
        <v>0</v>
      </c>
    </row>
    <row r="70" spans="1:13" ht="13.5" customHeight="1">
      <c r="A70" s="2" t="s">
        <v>98</v>
      </c>
      <c r="B70" s="12">
        <f>'2014-15'!N70</f>
        <v>160.209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160.209</v>
      </c>
      <c r="M70" s="56">
        <f t="shared" si="19"/>
        <v>0</v>
      </c>
    </row>
    <row r="71" spans="1:13" ht="12.75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2792.166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151</v>
      </c>
      <c r="F72" s="10">
        <f t="shared" si="20"/>
        <v>-26</v>
      </c>
      <c r="G72" s="33">
        <f t="shared" si="20"/>
        <v>-270</v>
      </c>
      <c r="H72" s="10">
        <f t="shared" si="20"/>
        <v>-7</v>
      </c>
      <c r="I72" s="33">
        <f t="shared" si="20"/>
        <v>-170</v>
      </c>
      <c r="J72" s="10">
        <f t="shared" si="20"/>
        <v>0</v>
      </c>
      <c r="K72" s="33">
        <f t="shared" si="20"/>
        <v>-25</v>
      </c>
      <c r="L72" s="9">
        <f t="shared" si="20"/>
        <v>2445.166000000001</v>
      </c>
      <c r="M72" s="55">
        <f aca="true" t="shared" si="21" ref="M72:M84">+(L72-B72)/B72</f>
        <v>-0.12427627870262695</v>
      </c>
    </row>
    <row r="73" spans="1:13" ht="12.75">
      <c r="A73" s="21" t="s">
        <v>86</v>
      </c>
      <c r="B73" s="12">
        <f>'2014-15'!N73</f>
        <v>-2127.289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-2160.289</v>
      </c>
      <c r="M73" s="56">
        <f t="shared" si="21"/>
        <v>0.015512701847280739</v>
      </c>
    </row>
    <row r="74" spans="1:13" ht="12.75">
      <c r="A74" s="21" t="s">
        <v>87</v>
      </c>
      <c r="B74" s="12">
        <f>'2014-15'!N74</f>
        <v>-439.52899999999994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-439.52899999999994</v>
      </c>
      <c r="M74" s="56">
        <f t="shared" si="21"/>
        <v>0</v>
      </c>
    </row>
    <row r="75" spans="1:13" ht="12.75">
      <c r="A75" s="21" t="s">
        <v>20</v>
      </c>
      <c r="B75" s="12">
        <f>'2014-15'!N75</f>
        <v>-3671.1189999999997</v>
      </c>
      <c r="C75" s="39"/>
      <c r="D75" s="15"/>
      <c r="E75" s="39"/>
      <c r="F75" s="15">
        <v>-110</v>
      </c>
      <c r="G75" s="39">
        <v>-290</v>
      </c>
      <c r="H75" s="15"/>
      <c r="I75" s="39">
        <f>-116+50</f>
        <v>-66</v>
      </c>
      <c r="J75" s="15"/>
      <c r="K75" s="39"/>
      <c r="L75" s="12">
        <f t="shared" si="22"/>
        <v>-4137.119</v>
      </c>
      <c r="M75" s="56">
        <f t="shared" si="21"/>
        <v>0.12693677322908903</v>
      </c>
    </row>
    <row r="76" spans="1:13" ht="12.75">
      <c r="A76" s="21" t="s">
        <v>21</v>
      </c>
      <c r="B76" s="12">
        <f>'2014-15'!N76</f>
        <v>3355.233</v>
      </c>
      <c r="C76" s="39"/>
      <c r="D76" s="15"/>
      <c r="E76" s="39"/>
      <c r="F76" s="15">
        <f>34+50</f>
        <v>84</v>
      </c>
      <c r="G76" s="39"/>
      <c r="H76" s="15"/>
      <c r="I76" s="39">
        <v>-16</v>
      </c>
      <c r="J76" s="15"/>
      <c r="K76" s="39"/>
      <c r="L76" s="12">
        <f t="shared" si="22"/>
        <v>3423.233</v>
      </c>
      <c r="M76" s="56">
        <f t="shared" si="21"/>
        <v>0.02026684882987262</v>
      </c>
    </row>
    <row r="77" spans="1:13" ht="12.75">
      <c r="A77" s="21" t="s">
        <v>88</v>
      </c>
      <c r="B77" s="12">
        <f>'2014-15'!N77</f>
        <v>-1193.399</v>
      </c>
      <c r="C77" s="39"/>
      <c r="D77" s="15"/>
      <c r="E77" s="39"/>
      <c r="F77" s="15"/>
      <c r="G77" s="39"/>
      <c r="H77" s="15">
        <v>-7</v>
      </c>
      <c r="I77" s="39">
        <v>-25</v>
      </c>
      <c r="J77" s="15"/>
      <c r="K77" s="39"/>
      <c r="L77" s="12">
        <f t="shared" si="22"/>
        <v>-1225.399</v>
      </c>
      <c r="M77" s="56">
        <f t="shared" si="21"/>
        <v>0.02681416692992034</v>
      </c>
    </row>
    <row r="78" spans="1:13" ht="12.75">
      <c r="A78" s="21" t="s">
        <v>66</v>
      </c>
      <c r="B78" s="12">
        <f>'2014-15'!N78</f>
        <v>-140.066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/>
      <c r="L78" s="12">
        <f t="shared" si="22"/>
        <v>-158.066</v>
      </c>
      <c r="M78" s="56">
        <f t="shared" si="21"/>
        <v>0.1285108448874102</v>
      </c>
    </row>
    <row r="79" spans="1:13" ht="12.75">
      <c r="A79" s="21" t="s">
        <v>22</v>
      </c>
      <c r="B79" s="12">
        <f>'2014-15'!N79</f>
        <v>4065.024</v>
      </c>
      <c r="C79" s="39"/>
      <c r="D79" s="15"/>
      <c r="E79" s="39">
        <v>1</v>
      </c>
      <c r="F79" s="15"/>
      <c r="G79" s="39"/>
      <c r="H79" s="15"/>
      <c r="I79" s="39"/>
      <c r="J79" s="15"/>
      <c r="K79" s="39">
        <v>-25</v>
      </c>
      <c r="L79" s="12">
        <f t="shared" si="22"/>
        <v>4041.024</v>
      </c>
      <c r="M79" s="56">
        <f t="shared" si="21"/>
        <v>-0.005904024182883053</v>
      </c>
    </row>
    <row r="80" spans="1:13" ht="12.75">
      <c r="A80" s="21" t="s">
        <v>65</v>
      </c>
      <c r="B80" s="12">
        <f>'2014-15'!N80</f>
        <v>-86.56300000000002</v>
      </c>
      <c r="C80" s="39"/>
      <c r="D80" s="15"/>
      <c r="E80" s="39">
        <v>40</v>
      </c>
      <c r="F80" s="15"/>
      <c r="G80" s="39"/>
      <c r="H80" s="15"/>
      <c r="I80" s="39"/>
      <c r="J80" s="15"/>
      <c r="K80" s="39"/>
      <c r="L80" s="12">
        <f t="shared" si="22"/>
        <v>-46.56300000000002</v>
      </c>
      <c r="M80" s="56">
        <f t="shared" si="21"/>
        <v>-0.462091193697076</v>
      </c>
    </row>
    <row r="81" spans="1:13" ht="12.75">
      <c r="A81" s="21" t="s">
        <v>23</v>
      </c>
      <c r="B81" s="12">
        <f>'2014-15'!N81</f>
        <v>-55.171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-55.171</v>
      </c>
      <c r="M81" s="56">
        <f t="shared" si="21"/>
        <v>0</v>
      </c>
    </row>
    <row r="82" spans="1:13" ht="12.75" customHeight="1">
      <c r="A82" s="21" t="s">
        <v>89</v>
      </c>
      <c r="B82" s="12">
        <f>'2014-15'!N82</f>
        <v>-239.40499999999997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-239.40499999999997</v>
      </c>
      <c r="M82" s="56">
        <f t="shared" si="21"/>
        <v>0</v>
      </c>
    </row>
    <row r="83" spans="1:13" ht="12.75" customHeight="1">
      <c r="A83" s="21" t="s">
        <v>24</v>
      </c>
      <c r="B83" s="12">
        <f>'2014-15'!N83</f>
        <v>2335.934</v>
      </c>
      <c r="C83" s="39"/>
      <c r="D83" s="15"/>
      <c r="E83" s="39"/>
      <c r="F83" s="15"/>
      <c r="G83" s="39"/>
      <c r="H83" s="15"/>
      <c r="I83" s="39">
        <f>22+-22</f>
        <v>0</v>
      </c>
      <c r="J83" s="15"/>
      <c r="K83" s="39"/>
      <c r="L83" s="12">
        <f t="shared" si="22"/>
        <v>2335.934</v>
      </c>
      <c r="M83" s="56">
        <f t="shared" si="21"/>
        <v>0</v>
      </c>
    </row>
    <row r="84" spans="1:14" ht="12.75" customHeight="1">
      <c r="A84" s="21" t="s">
        <v>25</v>
      </c>
      <c r="B84" s="107">
        <f>'2014-15'!N84</f>
        <v>988.5160000000001</v>
      </c>
      <c r="C84" s="39"/>
      <c r="D84" s="15"/>
      <c r="E84" s="39">
        <v>98</v>
      </c>
      <c r="F84" s="106"/>
      <c r="G84" s="106">
        <v>20</v>
      </c>
      <c r="H84" s="106"/>
      <c r="I84" s="106"/>
      <c r="J84" s="106"/>
      <c r="K84" s="106"/>
      <c r="L84" s="107">
        <f t="shared" si="22"/>
        <v>1106.516</v>
      </c>
      <c r="M84" s="108">
        <f t="shared" si="21"/>
        <v>0.11937085489764454</v>
      </c>
      <c r="N84" s="109"/>
    </row>
    <row r="85" spans="1:13" ht="12.75" customHeight="1">
      <c r="A85" s="6"/>
      <c r="B85" s="14"/>
      <c r="C85" s="39"/>
      <c r="D85" s="15"/>
      <c r="E85" s="39"/>
      <c r="F85" s="15"/>
      <c r="G85" s="39"/>
      <c r="H85" s="15"/>
      <c r="I85" s="39"/>
      <c r="J85" s="15"/>
      <c r="K85" s="39"/>
      <c r="L85" s="14"/>
      <c r="M85" s="58"/>
    </row>
    <row r="86" spans="1:13" ht="12.75">
      <c r="A86" s="7" t="s">
        <v>104</v>
      </c>
      <c r="B86" s="9">
        <f>+SUM(B87:B96)</f>
        <v>7537.393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6</v>
      </c>
      <c r="F86" s="11">
        <f t="shared" si="23"/>
        <v>0</v>
      </c>
      <c r="G86" s="34">
        <f t="shared" si="23"/>
        <v>-315</v>
      </c>
      <c r="H86" s="11">
        <f t="shared" si="23"/>
        <v>0</v>
      </c>
      <c r="I86" s="34">
        <f t="shared" si="23"/>
        <v>-62</v>
      </c>
      <c r="J86" s="11">
        <f t="shared" si="23"/>
        <v>0</v>
      </c>
      <c r="K86" s="34">
        <f t="shared" si="23"/>
        <v>0</v>
      </c>
      <c r="L86" s="9">
        <f t="shared" si="23"/>
        <v>7166.393</v>
      </c>
      <c r="M86" s="55">
        <f aca="true" t="shared" si="24" ref="M86:M96">+(L86-B86)/B86</f>
        <v>-0.04922126257712713</v>
      </c>
    </row>
    <row r="87" spans="1:13" ht="12.75">
      <c r="A87" s="4" t="s">
        <v>55</v>
      </c>
      <c r="B87" s="12">
        <f>'2014-15'!N87</f>
        <v>1832.8690000000001</v>
      </c>
      <c r="C87" s="39"/>
      <c r="D87" s="15"/>
      <c r="E87" s="39">
        <v>6</v>
      </c>
      <c r="F87" s="15"/>
      <c r="G87" s="39">
        <f>-300</f>
        <v>-300</v>
      </c>
      <c r="H87" s="15"/>
      <c r="I87" s="39">
        <v>-10</v>
      </c>
      <c r="J87" s="15"/>
      <c r="K87" s="39"/>
      <c r="L87" s="12">
        <f aca="true" t="shared" si="25" ref="L87:L96">+B87+SUM(C87:K87)</f>
        <v>1528.8690000000001</v>
      </c>
      <c r="M87" s="56">
        <f t="shared" si="24"/>
        <v>-0.16586018968076824</v>
      </c>
    </row>
    <row r="88" spans="1:13" ht="12.75">
      <c r="A88" s="4" t="s">
        <v>72</v>
      </c>
      <c r="B88" s="12">
        <f>'2014-15'!N88</f>
        <v>86.306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86.306</v>
      </c>
      <c r="M88" s="56">
        <f t="shared" si="24"/>
        <v>0</v>
      </c>
    </row>
    <row r="89" spans="1:13" ht="12.75">
      <c r="A89" s="4" t="s">
        <v>56</v>
      </c>
      <c r="B89" s="12">
        <f>'2014-15'!N89</f>
        <v>206.32500000000002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206.32500000000002</v>
      </c>
      <c r="M89" s="56">
        <f t="shared" si="24"/>
        <v>0</v>
      </c>
    </row>
    <row r="90" spans="1:13" ht="12.75">
      <c r="A90" s="4" t="s">
        <v>57</v>
      </c>
      <c r="B90" s="12">
        <f>'2014-15'!N90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'2014-15'!N91</f>
        <v>64.707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64.707</v>
      </c>
      <c r="M91" s="56">
        <f t="shared" si="24"/>
        <v>0</v>
      </c>
    </row>
    <row r="92" spans="1:13" ht="12.75">
      <c r="A92" s="4" t="s">
        <v>59</v>
      </c>
      <c r="B92" s="12">
        <f>'2014-15'!N92</f>
        <v>145.114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145.114</v>
      </c>
      <c r="M92" s="56">
        <f t="shared" si="24"/>
        <v>0</v>
      </c>
    </row>
    <row r="93" spans="1:13" ht="12.75">
      <c r="A93" s="4" t="s">
        <v>60</v>
      </c>
      <c r="B93" s="12">
        <f>'2014-15'!N93</f>
        <v>1793.0739999999998</v>
      </c>
      <c r="C93" s="39"/>
      <c r="D93" s="15"/>
      <c r="E93" s="39"/>
      <c r="F93" s="15"/>
      <c r="G93" s="39">
        <v>-10</v>
      </c>
      <c r="H93" s="15"/>
      <c r="I93" s="39">
        <f>-17+-30+-5</f>
        <v>-52</v>
      </c>
      <c r="J93" s="15"/>
      <c r="K93" s="39"/>
      <c r="L93" s="12">
        <f t="shared" si="25"/>
        <v>1731.0739999999998</v>
      </c>
      <c r="M93" s="56">
        <f t="shared" si="24"/>
        <v>-0.03457749094571669</v>
      </c>
    </row>
    <row r="94" spans="1:13" ht="12.75">
      <c r="A94" s="101" t="s">
        <v>90</v>
      </c>
      <c r="B94" s="100">
        <f>'2014-15'!N94</f>
        <v>436.01700000000005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436.01700000000005</v>
      </c>
      <c r="M94" s="56">
        <f t="shared" si="24"/>
        <v>0</v>
      </c>
    </row>
    <row r="95" spans="1:13" ht="12.75">
      <c r="A95" s="102" t="s">
        <v>16</v>
      </c>
      <c r="B95" s="100">
        <f>'2014-15'!N95</f>
        <v>2559.838</v>
      </c>
      <c r="C95" s="39"/>
      <c r="D95" s="15"/>
      <c r="E95" s="39"/>
      <c r="F95" s="15"/>
      <c r="G95" s="39"/>
      <c r="H95" s="15"/>
      <c r="I95" s="39"/>
      <c r="J95" s="15"/>
      <c r="K95" s="39"/>
      <c r="L95" s="12">
        <f t="shared" si="25"/>
        <v>2559.838</v>
      </c>
      <c r="M95" s="56">
        <f t="shared" si="24"/>
        <v>0</v>
      </c>
    </row>
    <row r="96" spans="1:13" ht="12.75">
      <c r="A96" s="3" t="s">
        <v>99</v>
      </c>
      <c r="B96" s="16">
        <f>'2014-15'!N96</f>
        <v>388.474</v>
      </c>
      <c r="C96" s="41"/>
      <c r="D96" s="17"/>
      <c r="E96" s="41"/>
      <c r="F96" s="17"/>
      <c r="G96" s="41">
        <v>-5</v>
      </c>
      <c r="H96" s="17"/>
      <c r="I96" s="39"/>
      <c r="J96" s="15"/>
      <c r="K96" s="39"/>
      <c r="L96" s="12">
        <f t="shared" si="25"/>
        <v>383.474</v>
      </c>
      <c r="M96" s="56">
        <f t="shared" si="24"/>
        <v>-0.012870874241261964</v>
      </c>
    </row>
    <row r="97" spans="1:13" ht="12.75">
      <c r="A97" s="7"/>
      <c r="B97" s="9"/>
      <c r="C97" s="33"/>
      <c r="D97" s="10"/>
      <c r="E97" s="33"/>
      <c r="F97" s="10"/>
      <c r="G97" s="33"/>
      <c r="H97" s="10"/>
      <c r="I97" s="33"/>
      <c r="J97" s="10"/>
      <c r="K97" s="33"/>
      <c r="L97" s="9"/>
      <c r="M97" s="55"/>
    </row>
    <row r="98" spans="1:13" ht="12.75">
      <c r="A98" s="5" t="s">
        <v>70</v>
      </c>
      <c r="B98" s="9">
        <f aca="true" t="shared" si="26" ref="B98:L98">+SUM(B99:B102)</f>
        <v>449.65400000000005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-20</v>
      </c>
      <c r="J98" s="10">
        <f t="shared" si="26"/>
        <v>-17</v>
      </c>
      <c r="K98" s="33">
        <f t="shared" si="26"/>
        <v>-163</v>
      </c>
      <c r="L98" s="9">
        <f t="shared" si="26"/>
        <v>249.65400000000005</v>
      </c>
      <c r="M98" s="55">
        <f>+(L98-B98)/B98</f>
        <v>-0.444786435792854</v>
      </c>
    </row>
    <row r="99" spans="1:13" ht="12.75">
      <c r="A99" s="20" t="s">
        <v>14</v>
      </c>
      <c r="B99" s="12">
        <f>'2014-15'!N99</f>
        <v>-23.361999999999995</v>
      </c>
      <c r="C99" s="39"/>
      <c r="D99" s="15"/>
      <c r="E99" s="39"/>
      <c r="F99" s="15"/>
      <c r="G99" s="39"/>
      <c r="H99" s="15"/>
      <c r="I99" s="39">
        <v>-12</v>
      </c>
      <c r="J99" s="15"/>
      <c r="K99" s="39"/>
      <c r="L99" s="12">
        <f>+B99+SUM(C99:K99)</f>
        <v>-35.361999999999995</v>
      </c>
      <c r="M99" s="56">
        <f>+(L99-B99)/B99</f>
        <v>0.5136546528550638</v>
      </c>
    </row>
    <row r="100" spans="1:13" ht="12.75">
      <c r="A100" s="20" t="s">
        <v>52</v>
      </c>
      <c r="B100" s="12">
        <f>'2014-15'!N100</f>
        <v>431.663</v>
      </c>
      <c r="C100" s="39"/>
      <c r="D100" s="15"/>
      <c r="E100" s="39"/>
      <c r="F100" s="15"/>
      <c r="G100" s="39"/>
      <c r="H100" s="15"/>
      <c r="I100" s="39">
        <f>-2+-5+-1</f>
        <v>-8</v>
      </c>
      <c r="J100" s="15"/>
      <c r="K100" s="39">
        <v>-3</v>
      </c>
      <c r="L100" s="12">
        <f>+B100+SUM(C100:K100)</f>
        <v>420.663</v>
      </c>
      <c r="M100" s="56">
        <f>+(L100-B100)/B100</f>
        <v>-0.025482841939197937</v>
      </c>
    </row>
    <row r="101" spans="1:13" ht="15" customHeight="1">
      <c r="A101" s="20" t="s">
        <v>15</v>
      </c>
      <c r="B101" s="12">
        <f>'2014-15'!N101</f>
        <v>41.353</v>
      </c>
      <c r="C101" s="39"/>
      <c r="D101" s="15"/>
      <c r="E101" s="39"/>
      <c r="F101" s="15"/>
      <c r="G101" s="39"/>
      <c r="H101" s="15"/>
      <c r="I101" s="39"/>
      <c r="J101" s="15">
        <v>-17</v>
      </c>
      <c r="K101" s="39">
        <v>-160</v>
      </c>
      <c r="L101" s="12">
        <f>+B101+SUM(C101:K101)</f>
        <v>-135.647</v>
      </c>
      <c r="M101" s="56">
        <f>+(L101-B101)/B101</f>
        <v>-4.280221507508524</v>
      </c>
    </row>
    <row r="102" spans="1:13" ht="12.75">
      <c r="A102" s="5"/>
      <c r="B102" s="12"/>
      <c r="C102" s="39"/>
      <c r="D102" s="15"/>
      <c r="E102" s="39"/>
      <c r="F102" s="15"/>
      <c r="G102" s="39"/>
      <c r="H102" s="15"/>
      <c r="I102" s="39"/>
      <c r="J102" s="15"/>
      <c r="K102" s="39"/>
      <c r="L102" s="12"/>
      <c r="M102" s="56"/>
    </row>
    <row r="103" spans="1:13" s="31" customFormat="1" ht="41.25" customHeight="1">
      <c r="A103" s="59" t="s">
        <v>71</v>
      </c>
      <c r="B103" s="64">
        <f>+B5+B25+B63</f>
        <v>18837.560100000002</v>
      </c>
      <c r="C103" s="60">
        <f>+C5+C25+C63</f>
        <v>0</v>
      </c>
      <c r="D103" s="63">
        <f>+D5+D25+D63</f>
        <v>0</v>
      </c>
      <c r="E103" s="114">
        <f aca="true" t="shared" si="27" ref="E103:L103">+E5+E25+E63</f>
        <v>182</v>
      </c>
      <c r="F103" s="63">
        <f t="shared" si="27"/>
        <v>-18</v>
      </c>
      <c r="G103" s="63">
        <f t="shared" si="27"/>
        <v>-1794</v>
      </c>
      <c r="H103" s="63">
        <f t="shared" si="27"/>
        <v>33</v>
      </c>
      <c r="I103" s="63">
        <f t="shared" si="27"/>
        <v>-394</v>
      </c>
      <c r="J103" s="63">
        <f t="shared" si="27"/>
        <v>-150</v>
      </c>
      <c r="K103" s="63">
        <f t="shared" si="27"/>
        <v>-460</v>
      </c>
      <c r="L103" s="64">
        <f t="shared" si="27"/>
        <v>16236.560100000002</v>
      </c>
      <c r="M103" s="61">
        <f>+(L103-B103)/B103</f>
        <v>-0.13807520645946073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'2014-15'!N106</f>
        <v>1781.315</v>
      </c>
      <c r="C106" s="24">
        <f>107.623-B106+159+131.676-30+300</f>
        <v>-1113.016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668.299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'2014-15'!N108</f>
        <v>2852.583</v>
      </c>
      <c r="C108" s="24">
        <f>4503.403-B108</f>
        <v>1650.8200000000002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4503.403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23471.4581</v>
      </c>
      <c r="C110" s="47">
        <f t="shared" si="28"/>
        <v>537.8040000000001</v>
      </c>
      <c r="D110" s="47">
        <f t="shared" si="28"/>
        <v>0</v>
      </c>
      <c r="E110" s="47">
        <f t="shared" si="28"/>
        <v>182</v>
      </c>
      <c r="F110" s="47">
        <f t="shared" si="28"/>
        <v>-18</v>
      </c>
      <c r="G110" s="47">
        <f t="shared" si="28"/>
        <v>-1794</v>
      </c>
      <c r="H110" s="47">
        <f t="shared" si="28"/>
        <v>33</v>
      </c>
      <c r="I110" s="47">
        <f t="shared" si="28"/>
        <v>-394</v>
      </c>
      <c r="J110" s="47">
        <f t="shared" si="28"/>
        <v>-150</v>
      </c>
      <c r="K110" s="47">
        <f t="shared" si="28"/>
        <v>-460</v>
      </c>
      <c r="L110" s="47">
        <f t="shared" si="28"/>
        <v>21408.2621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'2014-15'!N113</f>
        <v>0</v>
      </c>
      <c r="C113" s="24">
        <v>0</v>
      </c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23471.4581</v>
      </c>
      <c r="C115" s="47">
        <f>+SUM(C110,C113)</f>
        <v>537.8040000000001</v>
      </c>
      <c r="D115" s="47">
        <f aca="true" t="shared" si="29" ref="D115:L115">+SUM(D110,D113)</f>
        <v>0</v>
      </c>
      <c r="E115" s="47">
        <f t="shared" si="29"/>
        <v>182</v>
      </c>
      <c r="F115" s="47">
        <f t="shared" si="29"/>
        <v>-18</v>
      </c>
      <c r="G115" s="47">
        <f t="shared" si="29"/>
        <v>-1794</v>
      </c>
      <c r="H115" s="47">
        <f t="shared" si="29"/>
        <v>33</v>
      </c>
      <c r="I115" s="47">
        <f t="shared" si="29"/>
        <v>-394</v>
      </c>
      <c r="J115" s="47">
        <f t="shared" si="29"/>
        <v>-150</v>
      </c>
      <c r="K115" s="47">
        <f t="shared" si="29"/>
        <v>-460</v>
      </c>
      <c r="L115" s="47">
        <f t="shared" si="29"/>
        <v>21408.2621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+SUM(B119:B122)</f>
        <v>-23471.206</v>
      </c>
      <c r="C118" s="47">
        <f>+SUM(C119:C122)</f>
        <v>2063.2199999999993</v>
      </c>
      <c r="D118" s="47">
        <f aca="true" t="shared" si="30" ref="D118:L118">+SUM(D119:D122)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-21407.986</v>
      </c>
      <c r="M118" s="37"/>
    </row>
    <row r="119" spans="1:13" ht="12.75" hidden="1" outlineLevel="1">
      <c r="A119" s="76" t="s">
        <v>108</v>
      </c>
      <c r="B119" s="38">
        <f>'2014-15'!N119</f>
        <v>-6402</v>
      </c>
      <c r="C119" s="24">
        <f>-4373-B119</f>
        <v>2029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-4373</v>
      </c>
      <c r="M119" s="37"/>
    </row>
    <row r="120" spans="1:13" ht="12.75" hidden="1" outlineLevel="1">
      <c r="A120" s="76" t="s">
        <v>109</v>
      </c>
      <c r="B120" s="38">
        <f>'2014-15'!N120</f>
        <v>-5637.692</v>
      </c>
      <c r="C120" s="24">
        <f>-5317.762-B120</f>
        <v>319.9300000000003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-5317.762</v>
      </c>
      <c r="M120" s="37"/>
    </row>
    <row r="121" spans="1:13" ht="12.75" hidden="1" outlineLevel="1">
      <c r="A121" s="80" t="s">
        <v>110</v>
      </c>
      <c r="B121" s="38">
        <f>'2014-15'!N121</f>
        <v>-11585.686</v>
      </c>
      <c r="C121" s="24">
        <f>-11871.396-B121</f>
        <v>-285.71000000000095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-11871.396</v>
      </c>
      <c r="M121" s="37"/>
    </row>
    <row r="122" spans="1:13" ht="12.75" hidden="1" outlineLevel="1">
      <c r="A122" s="80" t="s">
        <v>111</v>
      </c>
      <c r="B122" s="38">
        <f>'2014-15'!N122</f>
        <v>154.172</v>
      </c>
      <c r="C122" s="24">
        <v>0</v>
      </c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'2014-15'!N123</f>
        <v>0</v>
      </c>
      <c r="C123" s="24">
        <v>0</v>
      </c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0.2521000000015192</v>
      </c>
      <c r="C125" s="24">
        <f t="shared" si="31"/>
        <v>2601.0239999999994</v>
      </c>
      <c r="D125" s="24">
        <f t="shared" si="31"/>
        <v>0</v>
      </c>
      <c r="E125" s="24">
        <f t="shared" si="31"/>
        <v>182</v>
      </c>
      <c r="F125" s="24">
        <f t="shared" si="31"/>
        <v>-18</v>
      </c>
      <c r="G125" s="24">
        <f t="shared" si="31"/>
        <v>-1794</v>
      </c>
      <c r="H125" s="24">
        <f t="shared" si="31"/>
        <v>33</v>
      </c>
      <c r="I125" s="24">
        <f t="shared" si="31"/>
        <v>-394</v>
      </c>
      <c r="J125" s="24">
        <f t="shared" si="31"/>
        <v>-150</v>
      </c>
      <c r="K125" s="24">
        <f t="shared" si="31"/>
        <v>-460</v>
      </c>
      <c r="L125" s="24">
        <f t="shared" si="31"/>
        <v>0.2760999999991327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85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4" useFirstPageNumber="1" fitToHeight="0" fitToWidth="1" horizontalDpi="600" verticalDpi="600" orientation="landscape" paperSize="9" scale="73" r:id="rId1"/>
  <headerFooter alignWithMargins="0">
    <oddHeader>&amp;R&amp;16Appendix 2</oddHeader>
    <oddFooter>&amp;C&amp;P</oddFooter>
  </headerFooter>
  <rowBreaks count="2" manualBreakCount="2">
    <brk id="39" max="12" man="1"/>
    <brk id="8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102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P128" sqref="P128"/>
    </sheetView>
  </sheetViews>
  <sheetFormatPr defaultColWidth="9.140625" defaultRowHeight="12.75" outlineLevelRow="1"/>
  <cols>
    <col min="1" max="1" width="40.28125" style="40" customWidth="1"/>
    <col min="2" max="2" width="18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8" t="s">
        <v>115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2.25" customHeight="1">
      <c r="A3" s="18"/>
      <c r="B3" s="1" t="s">
        <v>91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92</v>
      </c>
      <c r="M3" s="51" t="s">
        <v>69</v>
      </c>
    </row>
    <row r="4" spans="1:13" ht="13.5" customHeight="1">
      <c r="A4" s="5"/>
      <c r="B4" s="92" t="s">
        <v>54</v>
      </c>
      <c r="C4" s="71" t="s">
        <v>54</v>
      </c>
      <c r="D4" s="115"/>
      <c r="E4" s="71" t="s">
        <v>54</v>
      </c>
      <c r="F4" s="91" t="s">
        <v>54</v>
      </c>
      <c r="G4" s="71" t="s">
        <v>54</v>
      </c>
      <c r="H4" s="91" t="s">
        <v>54</v>
      </c>
      <c r="I4" s="71" t="s">
        <v>54</v>
      </c>
      <c r="J4" s="91" t="s">
        <v>54</v>
      </c>
      <c r="K4" s="71" t="s">
        <v>54</v>
      </c>
      <c r="L4" s="96" t="s">
        <v>54</v>
      </c>
      <c r="M4" s="82"/>
    </row>
    <row r="5" spans="1:13" s="31" customFormat="1" ht="15.75">
      <c r="A5" s="52" t="s">
        <v>41</v>
      </c>
      <c r="B5" s="25">
        <f>+B7+B14+B20</f>
        <v>-657.2619999999988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-80</v>
      </c>
      <c r="G5" s="30">
        <f t="shared" si="0"/>
        <v>-26</v>
      </c>
      <c r="H5" s="26">
        <f t="shared" si="0"/>
        <v>2</v>
      </c>
      <c r="I5" s="30">
        <f t="shared" si="0"/>
        <v>-276</v>
      </c>
      <c r="J5" s="26">
        <f t="shared" si="0"/>
        <v>-10</v>
      </c>
      <c r="K5" s="30">
        <f t="shared" si="0"/>
        <v>-25</v>
      </c>
      <c r="L5" s="25">
        <f>+L7+L14+L20</f>
        <v>-1072.2619999999988</v>
      </c>
      <c r="M5" s="53">
        <f>+(L5-B5)/B5</f>
        <v>0.6314072622485413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1635.5030000000002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-90</v>
      </c>
      <c r="G7" s="34">
        <f t="shared" si="1"/>
        <v>0</v>
      </c>
      <c r="H7" s="11">
        <f t="shared" si="1"/>
        <v>0</v>
      </c>
      <c r="I7" s="34">
        <f t="shared" si="1"/>
        <v>-2</v>
      </c>
      <c r="J7" s="11">
        <f t="shared" si="1"/>
        <v>-10</v>
      </c>
      <c r="K7" s="34">
        <f t="shared" si="1"/>
        <v>-25</v>
      </c>
      <c r="L7" s="9">
        <f>+SUM(L8:L12)</f>
        <v>1508.5030000000002</v>
      </c>
      <c r="M7" s="55">
        <f aca="true" t="shared" si="2" ref="M7:M12">+(L7-B7)/B7</f>
        <v>-0.07765195172372047</v>
      </c>
    </row>
    <row r="8" spans="1:13" ht="12.75">
      <c r="A8" s="2" t="s">
        <v>43</v>
      </c>
      <c r="B8" s="12">
        <f>'2015-16'!L8</f>
        <v>1.565999999999999</v>
      </c>
      <c r="C8" s="36"/>
      <c r="D8" s="13"/>
      <c r="E8" s="36"/>
      <c r="F8" s="13"/>
      <c r="G8" s="36"/>
      <c r="H8" s="13"/>
      <c r="I8" s="36"/>
      <c r="J8" s="13">
        <v>-10</v>
      </c>
      <c r="K8" s="36"/>
      <c r="L8" s="12">
        <f>+B8+SUM(C8:K8)</f>
        <v>-8.434000000000001</v>
      </c>
      <c r="M8" s="56">
        <f t="shared" si="2"/>
        <v>-6.385696040868459</v>
      </c>
    </row>
    <row r="9" spans="1:13" ht="12.75">
      <c r="A9" s="2" t="s">
        <v>44</v>
      </c>
      <c r="B9" s="12">
        <f>'2015-16'!L9</f>
        <v>71.22500000000001</v>
      </c>
      <c r="C9" s="36"/>
      <c r="D9" s="13"/>
      <c r="E9" s="36"/>
      <c r="F9" s="13"/>
      <c r="G9" s="36"/>
      <c r="H9" s="13"/>
      <c r="I9" s="36">
        <v>-2</v>
      </c>
      <c r="J9" s="13"/>
      <c r="K9" s="36"/>
      <c r="L9" s="12">
        <f>+B9+SUM(C9:K9)</f>
        <v>69.22500000000001</v>
      </c>
      <c r="M9" s="56">
        <f t="shared" si="2"/>
        <v>-0.028080028080028078</v>
      </c>
    </row>
    <row r="10" spans="1:13" ht="12.75">
      <c r="A10" s="2" t="s">
        <v>68</v>
      </c>
      <c r="B10" s="12">
        <f>'2015-16'!L10</f>
        <v>582.351</v>
      </c>
      <c r="C10" s="36"/>
      <c r="D10" s="13"/>
      <c r="E10" s="36"/>
      <c r="F10" s="13">
        <v>-90</v>
      </c>
      <c r="G10" s="36"/>
      <c r="H10" s="13"/>
      <c r="I10" s="36"/>
      <c r="J10" s="13"/>
      <c r="K10" s="36"/>
      <c r="L10" s="12">
        <f>+B10+SUM(C10:K10)</f>
        <v>492.351</v>
      </c>
      <c r="M10" s="56">
        <f t="shared" si="2"/>
        <v>-0.15454596969868686</v>
      </c>
    </row>
    <row r="11" spans="1:13" ht="12.75">
      <c r="A11" s="2" t="s">
        <v>45</v>
      </c>
      <c r="B11" s="12">
        <f>'2015-16'!L11</f>
        <v>-31.374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-31.374</v>
      </c>
      <c r="M11" s="56">
        <f t="shared" si="2"/>
        <v>0</v>
      </c>
    </row>
    <row r="12" spans="1:13" ht="12.75">
      <c r="A12" s="2" t="s">
        <v>61</v>
      </c>
      <c r="B12" s="12">
        <f>'2015-16'!L12</f>
        <v>1011.7350000000001</v>
      </c>
      <c r="C12" s="36"/>
      <c r="D12" s="13"/>
      <c r="E12" s="36"/>
      <c r="F12" s="13"/>
      <c r="G12" s="36"/>
      <c r="H12" s="13"/>
      <c r="I12" s="36"/>
      <c r="J12" s="13"/>
      <c r="K12" s="36">
        <v>-25</v>
      </c>
      <c r="L12" s="12">
        <f>+B12+SUM(C12:K12)</f>
        <v>986.7350000000001</v>
      </c>
      <c r="M12" s="56">
        <f t="shared" si="2"/>
        <v>-0.024710027823491326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-5202.236999999999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-74</v>
      </c>
      <c r="J14" s="10">
        <f t="shared" si="3"/>
        <v>0</v>
      </c>
      <c r="K14" s="33">
        <f t="shared" si="3"/>
        <v>0</v>
      </c>
      <c r="L14" s="9">
        <f>+SUM(L15:L18)</f>
        <v>-5274.236999999999</v>
      </c>
      <c r="M14" s="55">
        <f>+(L14-B14)/B14</f>
        <v>0.013840199898620538</v>
      </c>
    </row>
    <row r="15" spans="1:13" ht="12.75">
      <c r="A15" s="4" t="s">
        <v>62</v>
      </c>
      <c r="B15" s="12">
        <f>'2015-16'!L15</f>
        <v>-6344.509</v>
      </c>
      <c r="C15" s="39"/>
      <c r="D15" s="15"/>
      <c r="E15" s="39"/>
      <c r="F15" s="15"/>
      <c r="G15" s="39"/>
      <c r="H15" s="15">
        <v>2</v>
      </c>
      <c r="I15" s="39">
        <v>-74</v>
      </c>
      <c r="J15" s="15"/>
      <c r="K15" s="39"/>
      <c r="L15" s="12">
        <f>+B15+SUM(C15:K15)</f>
        <v>-6416.509</v>
      </c>
      <c r="M15" s="56">
        <f>+(L15-B15)/B15</f>
        <v>0.011348395912118652</v>
      </c>
    </row>
    <row r="16" spans="1:13" ht="12.75">
      <c r="A16" s="4" t="s">
        <v>63</v>
      </c>
      <c r="B16" s="12">
        <f>'2015-16'!L16</f>
        <v>479.877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479.877</v>
      </c>
      <c r="M16" s="56">
        <f>+(L16-B16)/B16</f>
        <v>0</v>
      </c>
    </row>
    <row r="17" spans="1:13" ht="12.75">
      <c r="A17" s="4" t="s">
        <v>64</v>
      </c>
      <c r="B17" s="12">
        <f>'2015-16'!L17</f>
        <v>308.317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308.317</v>
      </c>
      <c r="M17" s="56">
        <f>+(L17-B17)/B17</f>
        <v>0</v>
      </c>
    </row>
    <row r="18" spans="1:13" ht="12.75">
      <c r="A18" s="4" t="s">
        <v>68</v>
      </c>
      <c r="B18" s="12">
        <f>'2015-16'!L18</f>
        <v>354.07800000000003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354.07800000000003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2909.472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10</v>
      </c>
      <c r="G20" s="33">
        <f t="shared" si="4"/>
        <v>-26</v>
      </c>
      <c r="H20" s="10">
        <f t="shared" si="4"/>
        <v>0</v>
      </c>
      <c r="I20" s="33">
        <f t="shared" si="4"/>
        <v>-200</v>
      </c>
      <c r="J20" s="10">
        <f t="shared" si="4"/>
        <v>0</v>
      </c>
      <c r="K20" s="33">
        <f t="shared" si="4"/>
        <v>0</v>
      </c>
      <c r="L20" s="9">
        <f t="shared" si="4"/>
        <v>2693.472</v>
      </c>
      <c r="M20" s="55">
        <f>+(L20-B20)/B20</f>
        <v>-0.07424027452403735</v>
      </c>
    </row>
    <row r="21" spans="1:13" ht="12.75">
      <c r="A21" s="3" t="s">
        <v>17</v>
      </c>
      <c r="B21" s="12">
        <f>'2015-16'!L21</f>
        <v>655.119</v>
      </c>
      <c r="C21" s="39"/>
      <c r="D21" s="15"/>
      <c r="E21" s="39"/>
      <c r="F21" s="15"/>
      <c r="G21" s="39">
        <v>-6</v>
      </c>
      <c r="H21" s="15"/>
      <c r="I21" s="39"/>
      <c r="J21" s="15"/>
      <c r="K21" s="39"/>
      <c r="L21" s="12">
        <f>+B21+SUM(C21:K21)</f>
        <v>649.119</v>
      </c>
      <c r="M21" s="56">
        <f>+(L21-B21)/B21</f>
        <v>-0.009158641407133666</v>
      </c>
    </row>
    <row r="22" spans="1:13" ht="12.75">
      <c r="A22" s="3" t="s">
        <v>18</v>
      </c>
      <c r="B22" s="12">
        <f>'2015-16'!L22</f>
        <v>2821.228</v>
      </c>
      <c r="C22" s="39"/>
      <c r="D22" s="15"/>
      <c r="E22" s="39"/>
      <c r="F22" s="15"/>
      <c r="G22" s="39">
        <v>-10</v>
      </c>
      <c r="H22" s="15"/>
      <c r="I22" s="39"/>
      <c r="J22" s="15"/>
      <c r="K22" s="39"/>
      <c r="L22" s="12">
        <f>+B22+SUM(C22:K22)</f>
        <v>2811.228</v>
      </c>
      <c r="M22" s="56">
        <f>+(L22-B22)/B22</f>
        <v>-0.003544555775002942</v>
      </c>
    </row>
    <row r="23" spans="1:13" ht="12.75">
      <c r="A23" s="3" t="s">
        <v>106</v>
      </c>
      <c r="B23" s="14">
        <f>'2015-16'!L23</f>
        <v>-566.875</v>
      </c>
      <c r="C23" s="33"/>
      <c r="D23" s="10"/>
      <c r="E23" s="33"/>
      <c r="F23" s="15">
        <v>10</v>
      </c>
      <c r="G23" s="39">
        <f>-10</f>
        <v>-10</v>
      </c>
      <c r="H23" s="10"/>
      <c r="I23" s="39">
        <v>-200</v>
      </c>
      <c r="J23" s="10"/>
      <c r="K23" s="33"/>
      <c r="L23" s="12">
        <f>+B23+SUM(C23:K23)</f>
        <v>-766.875</v>
      </c>
      <c r="M23" s="56">
        <f>+(L23-B23)/B23</f>
        <v>0.3528114663726571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4354.4231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-40</v>
      </c>
      <c r="G25" s="30">
        <f t="shared" si="5"/>
        <v>-258</v>
      </c>
      <c r="H25" s="26">
        <f t="shared" si="5"/>
        <v>-38</v>
      </c>
      <c r="I25" s="30">
        <f t="shared" si="5"/>
        <v>-57</v>
      </c>
      <c r="J25" s="26">
        <f t="shared" si="5"/>
        <v>0</v>
      </c>
      <c r="K25" s="30">
        <f t="shared" si="5"/>
        <v>-35</v>
      </c>
      <c r="L25" s="25">
        <f t="shared" si="5"/>
        <v>3931.4231</v>
      </c>
      <c r="M25" s="53">
        <f>+(L25-B25)/B25</f>
        <v>-0.09714260426369684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>+SUM(B28:B33)</f>
        <v>162.74</v>
      </c>
      <c r="C27" s="34">
        <f>+SUM(C28:C33)</f>
        <v>0</v>
      </c>
      <c r="D27" s="11">
        <f>+SUM(D28:D33)</f>
        <v>0</v>
      </c>
      <c r="E27" s="34">
        <f>+SUM(E28:E33)</f>
        <v>0</v>
      </c>
      <c r="F27" s="11">
        <f aca="true" t="shared" si="6" ref="F27:K27">+SUM(F28:F33)</f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>+SUM(L28:L33)</f>
        <v>162.74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'2015-16'!L28</f>
        <v>-17.563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-17.563</v>
      </c>
      <c r="M28" s="56">
        <f t="shared" si="7"/>
        <v>0</v>
      </c>
    </row>
    <row r="29" spans="1:13" ht="12.75">
      <c r="A29" s="2" t="s">
        <v>35</v>
      </c>
      <c r="B29" s="12">
        <f>'2015-16'!L29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'2015-16'!L30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'2015-16'!L31</f>
        <v>171.51899999999998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171.51899999999998</v>
      </c>
      <c r="M31" s="56">
        <f t="shared" si="7"/>
        <v>0</v>
      </c>
    </row>
    <row r="32" spans="1:13" ht="12.75">
      <c r="A32" s="2" t="s">
        <v>19</v>
      </c>
      <c r="B32" s="12">
        <f>'2015-16'!L32</f>
        <v>-47.563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-47.563</v>
      </c>
      <c r="M32" s="56">
        <f t="shared" si="7"/>
        <v>0</v>
      </c>
    </row>
    <row r="33" spans="1:13" ht="12.75">
      <c r="A33" s="2"/>
      <c r="B33" s="12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622.8960999999999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-170</v>
      </c>
      <c r="H34" s="10">
        <f t="shared" si="8"/>
        <v>0</v>
      </c>
      <c r="I34" s="33">
        <f t="shared" si="8"/>
        <v>-7</v>
      </c>
      <c r="J34" s="10">
        <f t="shared" si="8"/>
        <v>0</v>
      </c>
      <c r="K34" s="33">
        <f t="shared" si="8"/>
        <v>0</v>
      </c>
      <c r="L34" s="9">
        <f t="shared" si="8"/>
        <v>450.8961</v>
      </c>
      <c r="M34" s="55">
        <f aca="true" t="shared" si="9" ref="M34:M39">+(L34-B34)/B34</f>
        <v>-0.27612951822944465</v>
      </c>
    </row>
    <row r="35" spans="1:13" ht="12.75">
      <c r="A35" s="99" t="s">
        <v>94</v>
      </c>
      <c r="B35" s="12">
        <f>'2015-16'!L35</f>
        <v>-20.891</v>
      </c>
      <c r="C35" s="39"/>
      <c r="D35" s="15"/>
      <c r="E35" s="39"/>
      <c r="F35" s="15"/>
      <c r="G35" s="39">
        <v>-20</v>
      </c>
      <c r="H35" s="15"/>
      <c r="I35" s="39"/>
      <c r="J35" s="15"/>
      <c r="K35" s="39"/>
      <c r="L35" s="12">
        <f>+B35+SUM(C35:K35)</f>
        <v>-40.891</v>
      </c>
      <c r="M35" s="56">
        <f t="shared" si="9"/>
        <v>0.9573500550476283</v>
      </c>
    </row>
    <row r="36" spans="1:13" ht="12.75">
      <c r="A36" s="99" t="s">
        <v>0</v>
      </c>
      <c r="B36" s="12">
        <f>'2015-16'!L36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'2015-16'!L37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'2015-16'!L38</f>
        <v>54.184099999999994</v>
      </c>
      <c r="C38" s="39"/>
      <c r="D38" s="15"/>
      <c r="E38" s="39"/>
      <c r="F38" s="15"/>
      <c r="G38" s="39"/>
      <c r="H38" s="15"/>
      <c r="I38" s="39">
        <v>-7</v>
      </c>
      <c r="J38" s="15"/>
      <c r="K38" s="39"/>
      <c r="L38" s="12">
        <f>+B38+SUM(C38:K38)</f>
        <v>47.184099999999994</v>
      </c>
      <c r="M38" s="56">
        <f t="shared" si="9"/>
        <v>-0.12918919018678912</v>
      </c>
    </row>
    <row r="39" spans="1:13" ht="12.75">
      <c r="A39" s="3" t="s">
        <v>77</v>
      </c>
      <c r="B39" s="12">
        <f>'2015-16'!L39</f>
        <v>294.91700000000003</v>
      </c>
      <c r="C39" s="39"/>
      <c r="D39" s="15"/>
      <c r="E39" s="39">
        <v>5</v>
      </c>
      <c r="F39" s="15"/>
      <c r="G39" s="39">
        <v>-150</v>
      </c>
      <c r="H39" s="15"/>
      <c r="I39" s="39"/>
      <c r="J39" s="15"/>
      <c r="K39" s="39"/>
      <c r="L39" s="12">
        <f>+B39+SUM(C39:K39)</f>
        <v>149.91700000000003</v>
      </c>
      <c r="M39" s="56">
        <f t="shared" si="9"/>
        <v>-0.49166375624328196</v>
      </c>
    </row>
    <row r="40" spans="1:13" ht="12.75">
      <c r="A40" s="20"/>
      <c r="B40" s="14"/>
      <c r="C40" s="39"/>
      <c r="D40" s="15"/>
      <c r="E40" s="39"/>
      <c r="F40" s="15"/>
      <c r="G40" s="39"/>
      <c r="H40" s="15"/>
      <c r="I40" s="39"/>
      <c r="J40" s="15"/>
      <c r="K40" s="39"/>
      <c r="L40" s="12"/>
      <c r="M40" s="56"/>
    </row>
    <row r="41" spans="1:14" ht="12.75">
      <c r="A41" s="5" t="s">
        <v>39</v>
      </c>
      <c r="B41" s="111">
        <f>+SUM(B42:B46)</f>
        <v>3411.957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9">
        <f t="shared" si="10"/>
        <v>0</v>
      </c>
      <c r="G41" s="19">
        <f t="shared" si="10"/>
        <v>-85</v>
      </c>
      <c r="H41" s="19">
        <f t="shared" si="10"/>
        <v>-38</v>
      </c>
      <c r="I41" s="19">
        <f t="shared" si="10"/>
        <v>0</v>
      </c>
      <c r="J41" s="19">
        <f t="shared" si="10"/>
        <v>0</v>
      </c>
      <c r="K41" s="19">
        <f t="shared" si="10"/>
        <v>-35</v>
      </c>
      <c r="L41" s="111">
        <f t="shared" si="10"/>
        <v>3253.957</v>
      </c>
      <c r="M41" s="112">
        <f aca="true" t="shared" si="11" ref="M41:M46">+(L41-B41)/B41</f>
        <v>-0.04630773482784221</v>
      </c>
      <c r="N41" s="109"/>
    </row>
    <row r="42" spans="1:13" ht="12.75">
      <c r="A42" s="3" t="s">
        <v>78</v>
      </c>
      <c r="B42" s="12">
        <f>'2015-16'!L42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'2015-16'!L43</f>
        <v>-108.68299999999999</v>
      </c>
      <c r="C43" s="39"/>
      <c r="D43" s="15"/>
      <c r="E43" s="39"/>
      <c r="F43" s="15"/>
      <c r="G43" s="39">
        <f>-50+-35</f>
        <v>-85</v>
      </c>
      <c r="H43" s="15"/>
      <c r="I43" s="39"/>
      <c r="J43" s="15"/>
      <c r="K43" s="39">
        <v>-35</v>
      </c>
      <c r="L43" s="12">
        <f>+B43+SUM(C43:K43)</f>
        <v>-228.683</v>
      </c>
      <c r="M43" s="56">
        <f t="shared" si="11"/>
        <v>1.1041285205597933</v>
      </c>
    </row>
    <row r="44" spans="1:13" ht="12.75">
      <c r="A44" s="3" t="s">
        <v>19</v>
      </c>
      <c r="B44" s="12">
        <f>'2015-16'!L44</f>
        <v>1200.6609999999998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1162.6609999999998</v>
      </c>
      <c r="M44" s="56">
        <f t="shared" si="11"/>
        <v>-0.03164923321403794</v>
      </c>
    </row>
    <row r="45" spans="1:13" ht="12.75">
      <c r="A45" s="3" t="s">
        <v>53</v>
      </c>
      <c r="B45" s="12">
        <f>'2015-16'!L45</f>
        <v>2290.114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2290.114</v>
      </c>
      <c r="M45" s="56">
        <f t="shared" si="11"/>
        <v>0</v>
      </c>
    </row>
    <row r="46" spans="1:13" ht="12.75">
      <c r="A46" s="3" t="s">
        <v>80</v>
      </c>
      <c r="B46" s="12">
        <f>'2015-16'!L46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104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200.488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-40</v>
      </c>
      <c r="G48" s="34">
        <f t="shared" si="12"/>
        <v>-3</v>
      </c>
      <c r="H48" s="11">
        <f t="shared" si="12"/>
        <v>0</v>
      </c>
      <c r="I48" s="34">
        <f t="shared" si="12"/>
        <v>-50</v>
      </c>
      <c r="J48" s="11">
        <f t="shared" si="12"/>
        <v>0</v>
      </c>
      <c r="K48" s="34">
        <f t="shared" si="12"/>
        <v>0</v>
      </c>
      <c r="L48" s="9">
        <f t="shared" si="12"/>
        <v>107.488</v>
      </c>
      <c r="M48" s="55">
        <f aca="true" t="shared" si="13" ref="M48:M53">+(L48-B48)/B48</f>
        <v>-0.4638681616854874</v>
      </c>
    </row>
    <row r="49" spans="1:13" ht="12.75">
      <c r="A49" s="2" t="s">
        <v>81</v>
      </c>
      <c r="B49" s="12">
        <f>'2015-16'!L49</f>
        <v>109.21699999999998</v>
      </c>
      <c r="C49" s="39"/>
      <c r="D49" s="15"/>
      <c r="E49" s="39"/>
      <c r="F49" s="15"/>
      <c r="G49" s="39"/>
      <c r="H49" s="15"/>
      <c r="I49" s="39"/>
      <c r="J49" s="15"/>
      <c r="K49" s="39"/>
      <c r="L49" s="12">
        <f>+B49+SUM(C49:K49)</f>
        <v>109.21699999999998</v>
      </c>
      <c r="M49" s="56">
        <f t="shared" si="13"/>
        <v>0</v>
      </c>
    </row>
    <row r="50" spans="1:13" ht="12.75">
      <c r="A50" s="2" t="s">
        <v>82</v>
      </c>
      <c r="B50" s="12">
        <f>'2015-16'!L50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'2015-16'!L51</f>
        <v>-5.283999999999999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-5.283999999999999</v>
      </c>
      <c r="M51" s="56">
        <f t="shared" si="13"/>
        <v>0</v>
      </c>
    </row>
    <row r="52" spans="1:13" ht="12.75">
      <c r="A52" s="2" t="s">
        <v>38</v>
      </c>
      <c r="B52" s="12">
        <f>'2015-16'!L52</f>
        <v>4.587</v>
      </c>
      <c r="C52" s="39"/>
      <c r="D52" s="15"/>
      <c r="E52" s="39"/>
      <c r="F52" s="15"/>
      <c r="G52" s="39">
        <v>-2</v>
      </c>
      <c r="H52" s="15"/>
      <c r="I52" s="39"/>
      <c r="J52" s="15"/>
      <c r="K52" s="39"/>
      <c r="L52" s="12">
        <f>+B52+SUM(C52:K52)</f>
        <v>2.5869999999999997</v>
      </c>
      <c r="M52" s="56">
        <f t="shared" si="13"/>
        <v>-0.43601482450403317</v>
      </c>
    </row>
    <row r="53" spans="1:13" ht="12.75">
      <c r="A53" s="20" t="s">
        <v>83</v>
      </c>
      <c r="B53" s="12">
        <f>'2015-16'!L53</f>
        <v>91.92800000000001</v>
      </c>
      <c r="C53" s="39"/>
      <c r="D53" s="15"/>
      <c r="E53" s="39"/>
      <c r="F53" s="15">
        <v>-40</v>
      </c>
      <c r="G53" s="39">
        <v>-1</v>
      </c>
      <c r="H53" s="15"/>
      <c r="I53" s="39">
        <v>-50</v>
      </c>
      <c r="J53" s="15"/>
      <c r="K53" s="39"/>
      <c r="L53" s="12">
        <f>+B53+SUM(C53:K53)</f>
        <v>0.9280000000000115</v>
      </c>
      <c r="M53" s="56">
        <f t="shared" si="13"/>
        <v>-0.9899051431555129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-43.658000000000015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-43.658000000000015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'2015-16'!L56</f>
        <v>-3.896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-3.896</v>
      </c>
      <c r="M56" s="56">
        <f t="shared" si="15"/>
        <v>0</v>
      </c>
    </row>
    <row r="57" spans="1:13" ht="12.75">
      <c r="A57" s="3" t="s">
        <v>2</v>
      </c>
      <c r="B57" s="12">
        <f>'2015-16'!L57</f>
        <v>214.981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214.981</v>
      </c>
      <c r="M57" s="56">
        <f t="shared" si="15"/>
        <v>0</v>
      </c>
    </row>
    <row r="58" spans="1:13" ht="12.75">
      <c r="A58" s="3" t="s">
        <v>48</v>
      </c>
      <c r="B58" s="12">
        <f>'2015-16'!L58</f>
        <v>80.98399999999998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80.98399999999998</v>
      </c>
      <c r="M58" s="56">
        <f t="shared" si="15"/>
        <v>0</v>
      </c>
    </row>
    <row r="59" spans="1:13" ht="12.75">
      <c r="A59" s="3" t="s">
        <v>49</v>
      </c>
      <c r="B59" s="12">
        <f>'2015-16'!L59</f>
        <v>2.466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2.466</v>
      </c>
      <c r="M59" s="56">
        <f t="shared" si="15"/>
        <v>0</v>
      </c>
    </row>
    <row r="60" spans="1:13" ht="12.75">
      <c r="A60" s="3" t="s">
        <v>50</v>
      </c>
      <c r="B60" s="12">
        <f>'2015-16'!L60</f>
        <v>0.29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0.29</v>
      </c>
      <c r="M60" s="56">
        <f t="shared" si="15"/>
        <v>0</v>
      </c>
    </row>
    <row r="61" spans="1:13" ht="12.75">
      <c r="A61" s="3" t="s">
        <v>51</v>
      </c>
      <c r="B61" s="12">
        <f>'2015-16'!L61</f>
        <v>-338.483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-338.483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12539.399000000001</v>
      </c>
      <c r="C63" s="30">
        <f t="shared" si="17"/>
        <v>0</v>
      </c>
      <c r="D63" s="26">
        <f t="shared" si="17"/>
        <v>0</v>
      </c>
      <c r="E63" s="30">
        <f t="shared" si="17"/>
        <v>161</v>
      </c>
      <c r="F63" s="26">
        <f t="shared" si="17"/>
        <v>-82</v>
      </c>
      <c r="G63" s="30">
        <f t="shared" si="17"/>
        <v>-99</v>
      </c>
      <c r="H63" s="26">
        <f t="shared" si="17"/>
        <v>0</v>
      </c>
      <c r="I63" s="30">
        <f t="shared" si="17"/>
        <v>-315</v>
      </c>
      <c r="J63" s="26">
        <f t="shared" si="17"/>
        <v>0</v>
      </c>
      <c r="K63" s="30">
        <f t="shared" si="17"/>
        <v>86</v>
      </c>
      <c r="L63" s="25">
        <f t="shared" si="17"/>
        <v>12290.399000000001</v>
      </c>
      <c r="M63" s="53">
        <f>+(L63-B63)/B63</f>
        <v>-0.019857411029029378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2678.1859999999997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-45</v>
      </c>
      <c r="H65" s="10">
        <f t="shared" si="18"/>
        <v>0</v>
      </c>
      <c r="I65" s="33">
        <f t="shared" si="18"/>
        <v>-3</v>
      </c>
      <c r="J65" s="10">
        <f t="shared" si="18"/>
        <v>0</v>
      </c>
      <c r="K65" s="33">
        <f t="shared" si="18"/>
        <v>0</v>
      </c>
      <c r="L65" s="9">
        <f t="shared" si="18"/>
        <v>2630.1859999999997</v>
      </c>
      <c r="M65" s="55">
        <f aca="true" t="shared" si="19" ref="M65:M70">+(L65-B65)/B65</f>
        <v>-0.017922578939625556</v>
      </c>
    </row>
    <row r="66" spans="1:13" ht="12.75">
      <c r="A66" s="2" t="s">
        <v>96</v>
      </c>
      <c r="B66" s="12">
        <f>'2015-16'!L66</f>
        <v>500.87</v>
      </c>
      <c r="C66" s="39"/>
      <c r="D66" s="15"/>
      <c r="E66" s="39"/>
      <c r="F66" s="15"/>
      <c r="G66" s="39">
        <v>-45</v>
      </c>
      <c r="H66" s="15"/>
      <c r="I66" s="39"/>
      <c r="J66" s="15"/>
      <c r="K66" s="39"/>
      <c r="L66" s="12">
        <f>+B66+SUM(C66:K66)</f>
        <v>455.87</v>
      </c>
      <c r="M66" s="56">
        <f t="shared" si="19"/>
        <v>-0.08984367201070138</v>
      </c>
    </row>
    <row r="67" spans="1:13" ht="12.75">
      <c r="A67" s="2" t="s">
        <v>47</v>
      </c>
      <c r="B67" s="12">
        <f>'2015-16'!L67</f>
        <v>568.803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568.803</v>
      </c>
      <c r="M67" s="56">
        <f t="shared" si="19"/>
        <v>0</v>
      </c>
    </row>
    <row r="68" spans="1:13" ht="12.75">
      <c r="A68" s="2" t="s">
        <v>97</v>
      </c>
      <c r="B68" s="12">
        <f>'2015-16'!L68</f>
        <v>1359.747</v>
      </c>
      <c r="C68" s="39"/>
      <c r="D68" s="15"/>
      <c r="E68" s="39"/>
      <c r="F68" s="15"/>
      <c r="G68" s="39"/>
      <c r="H68" s="15"/>
      <c r="I68" s="39">
        <v>-3</v>
      </c>
      <c r="J68" s="15"/>
      <c r="K68" s="39"/>
      <c r="L68" s="12">
        <f>+B68+SUM(C68:K68)</f>
        <v>1356.747</v>
      </c>
      <c r="M68" s="56">
        <f t="shared" si="19"/>
        <v>-0.002206292788290763</v>
      </c>
    </row>
    <row r="69" spans="1:13" ht="12.75">
      <c r="A69" s="2" t="s">
        <v>105</v>
      </c>
      <c r="B69" s="12">
        <f>'2015-16'!L69</f>
        <v>88.557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88.557</v>
      </c>
      <c r="M69" s="56">
        <f t="shared" si="19"/>
        <v>0</v>
      </c>
    </row>
    <row r="70" spans="1:13" ht="12.75">
      <c r="A70" s="2" t="s">
        <v>98</v>
      </c>
      <c r="B70" s="12">
        <f>'2015-16'!L70</f>
        <v>160.209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160.209</v>
      </c>
      <c r="M70" s="56">
        <f t="shared" si="19"/>
        <v>0</v>
      </c>
    </row>
    <row r="71" spans="1:13" ht="12.75" customHeight="1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2445.166000000001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159</v>
      </c>
      <c r="F72" s="10">
        <f t="shared" si="20"/>
        <v>-82</v>
      </c>
      <c r="G72" s="33">
        <f t="shared" si="20"/>
        <v>-10</v>
      </c>
      <c r="H72" s="10">
        <f t="shared" si="20"/>
        <v>0</v>
      </c>
      <c r="I72" s="33">
        <f t="shared" si="20"/>
        <v>-254</v>
      </c>
      <c r="J72" s="10">
        <f t="shared" si="20"/>
        <v>0</v>
      </c>
      <c r="K72" s="33">
        <f t="shared" si="20"/>
        <v>0</v>
      </c>
      <c r="L72" s="9">
        <f t="shared" si="20"/>
        <v>2258.166000000001</v>
      </c>
      <c r="M72" s="55">
        <f aca="true" t="shared" si="21" ref="M72:M84">+(L72-B72)/B72</f>
        <v>-0.07647742525456346</v>
      </c>
    </row>
    <row r="73" spans="1:13" ht="12.75">
      <c r="A73" s="21" t="s">
        <v>86</v>
      </c>
      <c r="B73" s="12">
        <f>'2015-16'!L73</f>
        <v>-2160.289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-2193.289</v>
      </c>
      <c r="M73" s="56">
        <f t="shared" si="21"/>
        <v>0.015275733941153242</v>
      </c>
    </row>
    <row r="74" spans="1:13" ht="12.75">
      <c r="A74" s="21" t="s">
        <v>87</v>
      </c>
      <c r="B74" s="12">
        <f>'2015-16'!L74</f>
        <v>-439.52899999999994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-439.52899999999994</v>
      </c>
      <c r="M74" s="56">
        <f t="shared" si="21"/>
        <v>0</v>
      </c>
    </row>
    <row r="75" spans="1:13" ht="12.75">
      <c r="A75" s="21" t="s">
        <v>20</v>
      </c>
      <c r="B75" s="12">
        <f>'2015-16'!L75</f>
        <v>-4137.119</v>
      </c>
      <c r="C75" s="39"/>
      <c r="D75" s="15"/>
      <c r="E75" s="39"/>
      <c r="F75" s="15"/>
      <c r="G75" s="39">
        <v>-30</v>
      </c>
      <c r="H75" s="15"/>
      <c r="I75" s="39">
        <v>-150</v>
      </c>
      <c r="J75" s="15"/>
      <c r="K75" s="39"/>
      <c r="L75" s="12">
        <f t="shared" si="22"/>
        <v>-4317.119</v>
      </c>
      <c r="M75" s="56">
        <f t="shared" si="21"/>
        <v>0.04350853818804826</v>
      </c>
    </row>
    <row r="76" spans="1:13" ht="12.75">
      <c r="A76" s="21" t="s">
        <v>21</v>
      </c>
      <c r="B76" s="12">
        <f>'2015-16'!L76</f>
        <v>3423.233</v>
      </c>
      <c r="C76" s="39"/>
      <c r="D76" s="15"/>
      <c r="E76" s="39"/>
      <c r="F76" s="15">
        <v>28</v>
      </c>
      <c r="G76" s="39"/>
      <c r="H76" s="15"/>
      <c r="I76" s="39">
        <v>-16</v>
      </c>
      <c r="J76" s="15"/>
      <c r="K76" s="39"/>
      <c r="L76" s="12">
        <f t="shared" si="22"/>
        <v>3435.233</v>
      </c>
      <c r="M76" s="56">
        <f t="shared" si="21"/>
        <v>0.0035054581443915737</v>
      </c>
    </row>
    <row r="77" spans="1:13" ht="12.75">
      <c r="A77" s="21" t="s">
        <v>88</v>
      </c>
      <c r="B77" s="12">
        <f>'2015-16'!L77</f>
        <v>-1225.399</v>
      </c>
      <c r="C77" s="39"/>
      <c r="D77" s="15"/>
      <c r="E77" s="39"/>
      <c r="F77" s="15">
        <v>-110</v>
      </c>
      <c r="G77" s="39"/>
      <c r="H77" s="15"/>
      <c r="I77" s="39">
        <v>-25</v>
      </c>
      <c r="J77" s="15"/>
      <c r="K77" s="39"/>
      <c r="L77" s="12">
        <f t="shared" si="22"/>
        <v>-1360.399</v>
      </c>
      <c r="M77" s="56">
        <f t="shared" si="21"/>
        <v>0.11016819827664297</v>
      </c>
    </row>
    <row r="78" spans="1:13" ht="12.75">
      <c r="A78" s="21" t="s">
        <v>66</v>
      </c>
      <c r="B78" s="12">
        <f>'2015-16'!L78</f>
        <v>-158.066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/>
      <c r="L78" s="12">
        <f t="shared" si="22"/>
        <v>-176.066</v>
      </c>
      <c r="M78" s="56">
        <f t="shared" si="21"/>
        <v>0.11387648197588349</v>
      </c>
    </row>
    <row r="79" spans="1:13" ht="12.75">
      <c r="A79" s="21" t="s">
        <v>22</v>
      </c>
      <c r="B79" s="12">
        <f>'2015-16'!L79</f>
        <v>4041.024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4043.024</v>
      </c>
      <c r="M79" s="56">
        <f t="shared" si="21"/>
        <v>0.0004949240588524097</v>
      </c>
    </row>
    <row r="80" spans="1:13" ht="12.75">
      <c r="A80" s="21" t="s">
        <v>65</v>
      </c>
      <c r="B80" s="12">
        <f>'2015-16'!L80</f>
        <v>-46.56300000000002</v>
      </c>
      <c r="C80" s="39"/>
      <c r="D80" s="15"/>
      <c r="E80" s="39">
        <v>42</v>
      </c>
      <c r="F80" s="15"/>
      <c r="G80" s="39"/>
      <c r="H80" s="15"/>
      <c r="I80" s="39"/>
      <c r="J80" s="15"/>
      <c r="K80" s="39"/>
      <c r="L80" s="12">
        <f t="shared" si="22"/>
        <v>-4.563000000000017</v>
      </c>
      <c r="M80" s="56">
        <f t="shared" si="21"/>
        <v>-0.9020037368726239</v>
      </c>
    </row>
    <row r="81" spans="1:13" ht="12.75">
      <c r="A81" s="21" t="s">
        <v>23</v>
      </c>
      <c r="B81" s="12">
        <f>'2015-16'!L81</f>
        <v>-55.171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-55.171</v>
      </c>
      <c r="M81" s="56">
        <f t="shared" si="21"/>
        <v>0</v>
      </c>
    </row>
    <row r="82" spans="1:13" ht="12.75">
      <c r="A82" s="21" t="s">
        <v>89</v>
      </c>
      <c r="B82" s="12">
        <f>'2015-16'!L82</f>
        <v>-239.40499999999997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-239.40499999999997</v>
      </c>
      <c r="M82" s="56">
        <f t="shared" si="21"/>
        <v>0</v>
      </c>
    </row>
    <row r="83" spans="1:13" ht="12.75" customHeight="1">
      <c r="A83" s="21" t="s">
        <v>24</v>
      </c>
      <c r="B83" s="12">
        <f>'2015-16'!L83</f>
        <v>2335.934</v>
      </c>
      <c r="C83" s="39"/>
      <c r="D83" s="15"/>
      <c r="E83" s="39"/>
      <c r="F83" s="15"/>
      <c r="G83" s="39"/>
      <c r="H83" s="15"/>
      <c r="I83" s="39"/>
      <c r="J83" s="15"/>
      <c r="K83" s="39"/>
      <c r="L83" s="12">
        <f t="shared" si="22"/>
        <v>2335.934</v>
      </c>
      <c r="M83" s="56">
        <f t="shared" si="21"/>
        <v>0</v>
      </c>
    </row>
    <row r="84" spans="1:13" ht="12.75" customHeight="1">
      <c r="A84" s="21" t="s">
        <v>25</v>
      </c>
      <c r="B84" s="12">
        <f>'2015-16'!L84</f>
        <v>1106.516</v>
      </c>
      <c r="C84" s="39"/>
      <c r="D84" s="15"/>
      <c r="E84" s="39">
        <v>103</v>
      </c>
      <c r="F84" s="15"/>
      <c r="G84" s="39">
        <v>20</v>
      </c>
      <c r="H84" s="15"/>
      <c r="I84" s="39"/>
      <c r="J84" s="15"/>
      <c r="K84" s="39"/>
      <c r="L84" s="12">
        <f t="shared" si="22"/>
        <v>1229.516</v>
      </c>
      <c r="M84" s="56">
        <f t="shared" si="21"/>
        <v>0.11115971210538302</v>
      </c>
    </row>
    <row r="85" spans="1:14" ht="12.75" customHeight="1">
      <c r="A85" s="6"/>
      <c r="B85" s="105"/>
      <c r="C85" s="39"/>
      <c r="D85" s="15"/>
      <c r="E85" s="39"/>
      <c r="F85" s="106"/>
      <c r="G85" s="106"/>
      <c r="H85" s="106"/>
      <c r="I85" s="106"/>
      <c r="J85" s="106"/>
      <c r="K85" s="106"/>
      <c r="L85" s="105"/>
      <c r="M85" s="113"/>
      <c r="N85" s="109"/>
    </row>
    <row r="86" spans="1:13" ht="12.75" customHeight="1">
      <c r="A86" s="7" t="s">
        <v>104</v>
      </c>
      <c r="B86" s="9">
        <f>+SUM(B87:B96)</f>
        <v>7166.393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2</v>
      </c>
      <c r="F86" s="11">
        <f t="shared" si="23"/>
        <v>0</v>
      </c>
      <c r="G86" s="34">
        <f t="shared" si="23"/>
        <v>-44</v>
      </c>
      <c r="H86" s="11">
        <f t="shared" si="23"/>
        <v>0</v>
      </c>
      <c r="I86" s="34">
        <f t="shared" si="23"/>
        <v>-41</v>
      </c>
      <c r="J86" s="11">
        <f t="shared" si="23"/>
        <v>0</v>
      </c>
      <c r="K86" s="34">
        <f t="shared" si="23"/>
        <v>0</v>
      </c>
      <c r="L86" s="9">
        <f t="shared" si="23"/>
        <v>7083.393</v>
      </c>
      <c r="M86" s="55">
        <f aca="true" t="shared" si="24" ref="M86:M96">+(L86-B86)/B86</f>
        <v>-0.011581837613427006</v>
      </c>
    </row>
    <row r="87" spans="1:13" ht="12.75">
      <c r="A87" s="4" t="s">
        <v>55</v>
      </c>
      <c r="B87" s="12">
        <f>'2015-16'!L87</f>
        <v>1528.8690000000001</v>
      </c>
      <c r="C87" s="39"/>
      <c r="D87" s="15"/>
      <c r="E87" s="39">
        <v>2</v>
      </c>
      <c r="F87" s="15"/>
      <c r="G87" s="39">
        <f>-13</f>
        <v>-13</v>
      </c>
      <c r="H87" s="15"/>
      <c r="I87" s="39"/>
      <c r="J87" s="15"/>
      <c r="K87" s="39"/>
      <c r="L87" s="12">
        <f aca="true" t="shared" si="25" ref="L87:L96">+B87+SUM(C87:K87)</f>
        <v>1517.8690000000001</v>
      </c>
      <c r="M87" s="56">
        <f t="shared" si="24"/>
        <v>-0.007194861037799837</v>
      </c>
    </row>
    <row r="88" spans="1:13" ht="12.75">
      <c r="A88" s="4" t="s">
        <v>72</v>
      </c>
      <c r="B88" s="12">
        <f>'2015-16'!L88</f>
        <v>86.306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86.306</v>
      </c>
      <c r="M88" s="56">
        <f t="shared" si="24"/>
        <v>0</v>
      </c>
    </row>
    <row r="89" spans="1:13" ht="12.75">
      <c r="A89" s="4" t="s">
        <v>56</v>
      </c>
      <c r="B89" s="12">
        <f>'2015-16'!L89</f>
        <v>206.32500000000002</v>
      </c>
      <c r="C89" s="39"/>
      <c r="D89" s="15"/>
      <c r="E89" s="39"/>
      <c r="F89" s="15"/>
      <c r="G89" s="39"/>
      <c r="H89" s="15"/>
      <c r="I89" s="39">
        <v>-3</v>
      </c>
      <c r="J89" s="15"/>
      <c r="K89" s="39"/>
      <c r="L89" s="12">
        <f t="shared" si="25"/>
        <v>203.32500000000002</v>
      </c>
      <c r="M89" s="56">
        <f t="shared" si="24"/>
        <v>-0.014540167211922935</v>
      </c>
    </row>
    <row r="90" spans="1:13" ht="12.75">
      <c r="A90" s="4" t="s">
        <v>57</v>
      </c>
      <c r="B90" s="12">
        <f>'2015-16'!L90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'2015-16'!L91</f>
        <v>64.707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64.707</v>
      </c>
      <c r="M91" s="56">
        <f t="shared" si="24"/>
        <v>0</v>
      </c>
    </row>
    <row r="92" spans="1:13" ht="12.75">
      <c r="A92" s="4" t="s">
        <v>59</v>
      </c>
      <c r="B92" s="12">
        <f>'2015-16'!L92</f>
        <v>145.114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145.114</v>
      </c>
      <c r="M92" s="56">
        <f t="shared" si="24"/>
        <v>0</v>
      </c>
    </row>
    <row r="93" spans="1:13" ht="12.75">
      <c r="A93" s="4" t="s">
        <v>60</v>
      </c>
      <c r="B93" s="12">
        <f>'2015-16'!L93</f>
        <v>1731.0739999999998</v>
      </c>
      <c r="C93" s="39"/>
      <c r="D93" s="15"/>
      <c r="E93" s="39"/>
      <c r="F93" s="15"/>
      <c r="G93" s="39">
        <f>-13+-8+-10</f>
        <v>-31</v>
      </c>
      <c r="H93" s="15"/>
      <c r="I93" s="39">
        <f>-10+-5+-18+-5</f>
        <v>-38</v>
      </c>
      <c r="J93" s="15"/>
      <c r="K93" s="39"/>
      <c r="L93" s="12">
        <f t="shared" si="25"/>
        <v>1662.0739999999998</v>
      </c>
      <c r="M93" s="56">
        <f t="shared" si="24"/>
        <v>-0.03985964782556956</v>
      </c>
    </row>
    <row r="94" spans="1:13" ht="12.75">
      <c r="A94" s="101" t="s">
        <v>90</v>
      </c>
      <c r="B94" s="12">
        <f>'2015-16'!L94</f>
        <v>436.01700000000005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436.01700000000005</v>
      </c>
      <c r="M94" s="56">
        <f t="shared" si="24"/>
        <v>0</v>
      </c>
    </row>
    <row r="95" spans="1:13" ht="12.75">
      <c r="A95" s="102" t="s">
        <v>16</v>
      </c>
      <c r="B95" s="16">
        <f>'2015-16'!L95</f>
        <v>2559.838</v>
      </c>
      <c r="C95" s="41"/>
      <c r="D95" s="17"/>
      <c r="E95" s="41"/>
      <c r="F95" s="17"/>
      <c r="G95" s="41"/>
      <c r="H95" s="17"/>
      <c r="I95" s="39"/>
      <c r="J95" s="15"/>
      <c r="K95" s="39"/>
      <c r="L95" s="12">
        <f t="shared" si="25"/>
        <v>2559.838</v>
      </c>
      <c r="M95" s="56">
        <f t="shared" si="24"/>
        <v>0</v>
      </c>
    </row>
    <row r="96" spans="1:13" ht="12.75">
      <c r="A96" s="3" t="s">
        <v>99</v>
      </c>
      <c r="B96" s="16">
        <f>'2015-16'!L96</f>
        <v>383.474</v>
      </c>
      <c r="C96" s="41"/>
      <c r="D96" s="17"/>
      <c r="E96" s="41"/>
      <c r="F96" s="17"/>
      <c r="G96" s="41"/>
      <c r="H96" s="17"/>
      <c r="I96" s="39"/>
      <c r="J96" s="15"/>
      <c r="K96" s="39"/>
      <c r="L96" s="12">
        <f t="shared" si="25"/>
        <v>383.474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249.65400000000005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-17</v>
      </c>
      <c r="J98" s="10">
        <f t="shared" si="26"/>
        <v>0</v>
      </c>
      <c r="K98" s="33">
        <f t="shared" si="26"/>
        <v>86</v>
      </c>
      <c r="L98" s="9">
        <f t="shared" si="26"/>
        <v>318.65400000000005</v>
      </c>
      <c r="M98" s="55">
        <f>+(L98-B98)/B98</f>
        <v>0.27638251339854353</v>
      </c>
    </row>
    <row r="99" spans="1:13" ht="12.75">
      <c r="A99" s="20" t="s">
        <v>14</v>
      </c>
      <c r="B99" s="12">
        <f>'2015-16'!L99</f>
        <v>-35.361999999999995</v>
      </c>
      <c r="C99" s="39"/>
      <c r="D99" s="15"/>
      <c r="E99" s="39"/>
      <c r="F99" s="15"/>
      <c r="G99" s="39"/>
      <c r="H99" s="15"/>
      <c r="I99" s="39">
        <v>-8</v>
      </c>
      <c r="J99" s="15"/>
      <c r="K99" s="39"/>
      <c r="L99" s="12">
        <f>+B99+SUM(C99:K99)</f>
        <v>-43.361999999999995</v>
      </c>
      <c r="M99" s="56">
        <f>+(L99-B99)/B99</f>
        <v>0.22623154798936715</v>
      </c>
    </row>
    <row r="100" spans="1:13" ht="12.75">
      <c r="A100" s="20" t="s">
        <v>52</v>
      </c>
      <c r="B100" s="12">
        <f>'2015-16'!L100</f>
        <v>420.663</v>
      </c>
      <c r="C100" s="39"/>
      <c r="D100" s="15"/>
      <c r="E100" s="39"/>
      <c r="F100" s="15"/>
      <c r="G100" s="39"/>
      <c r="H100" s="15"/>
      <c r="I100" s="39">
        <v>-9</v>
      </c>
      <c r="J100" s="15"/>
      <c r="K100" s="39"/>
      <c r="L100" s="12">
        <f>+B100+SUM(C100:K100)</f>
        <v>411.663</v>
      </c>
      <c r="M100" s="56">
        <f>+(L100-B100)/B100</f>
        <v>-0.02139479821139487</v>
      </c>
    </row>
    <row r="101" spans="1:13" ht="12.75">
      <c r="A101" s="20" t="s">
        <v>15</v>
      </c>
      <c r="B101" s="12">
        <f>'2015-16'!L101</f>
        <v>-135.647</v>
      </c>
      <c r="C101" s="39"/>
      <c r="D101" s="15"/>
      <c r="E101" s="39"/>
      <c r="F101" s="15"/>
      <c r="G101" s="39"/>
      <c r="H101" s="15"/>
      <c r="I101" s="39"/>
      <c r="J101" s="15"/>
      <c r="K101" s="39">
        <f>110+-24</f>
        <v>86</v>
      </c>
      <c r="L101" s="12">
        <f>+B101+SUM(C101:K101)</f>
        <v>-49.64699999999999</v>
      </c>
      <c r="M101" s="56">
        <f>+(L101-B101)/B101</f>
        <v>-0.6339985403289421</v>
      </c>
    </row>
    <row r="102" spans="1:13" ht="12.75">
      <c r="A102" s="6"/>
      <c r="B102" s="16"/>
      <c r="C102" s="42"/>
      <c r="D102" s="22"/>
      <c r="E102" s="42"/>
      <c r="F102" s="22"/>
      <c r="G102" s="42"/>
      <c r="H102" s="22"/>
      <c r="I102" s="42"/>
      <c r="J102" s="22"/>
      <c r="K102" s="42"/>
      <c r="L102" s="16"/>
      <c r="M102" s="54"/>
    </row>
    <row r="103" spans="1:13" s="31" customFormat="1" ht="41.25" customHeight="1">
      <c r="A103" s="59" t="s">
        <v>71</v>
      </c>
      <c r="B103" s="64">
        <f>+B5+B25+B63</f>
        <v>16236.560100000002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166</v>
      </c>
      <c r="F103" s="63">
        <f t="shared" si="27"/>
        <v>-202</v>
      </c>
      <c r="G103" s="60">
        <f t="shared" si="27"/>
        <v>-383</v>
      </c>
      <c r="H103" s="63">
        <f t="shared" si="27"/>
        <v>-36</v>
      </c>
      <c r="I103" s="60">
        <f t="shared" si="27"/>
        <v>-648</v>
      </c>
      <c r="J103" s="63">
        <f t="shared" si="27"/>
        <v>-10</v>
      </c>
      <c r="K103" s="60">
        <f t="shared" si="27"/>
        <v>26</v>
      </c>
      <c r="L103" s="64">
        <f t="shared" si="27"/>
        <v>15149.560100000002</v>
      </c>
      <c r="M103" s="61">
        <f>+(L103-B103)/B103</f>
        <v>-0.06694767815998168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'2015-16'!L106</f>
        <v>668.299</v>
      </c>
      <c r="C106" s="24">
        <f>-399.956-B106+159+195-410+300</f>
        <v>-824.2550000000001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-155.95600000000013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'2015-16'!L108</f>
        <v>4503.403</v>
      </c>
      <c r="C108" s="24">
        <f>6051.869-B108</f>
        <v>1548.4659999999994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6051.869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21408.2621</v>
      </c>
      <c r="C110" s="47">
        <f t="shared" si="28"/>
        <v>724.2109999999993</v>
      </c>
      <c r="D110" s="47">
        <f t="shared" si="28"/>
        <v>0</v>
      </c>
      <c r="E110" s="47">
        <f t="shared" si="28"/>
        <v>166</v>
      </c>
      <c r="F110" s="47">
        <f t="shared" si="28"/>
        <v>-202</v>
      </c>
      <c r="G110" s="47">
        <f t="shared" si="28"/>
        <v>-383</v>
      </c>
      <c r="H110" s="47">
        <f t="shared" si="28"/>
        <v>-36</v>
      </c>
      <c r="I110" s="47">
        <f t="shared" si="28"/>
        <v>-648</v>
      </c>
      <c r="J110" s="47">
        <f t="shared" si="28"/>
        <v>-10</v>
      </c>
      <c r="K110" s="47">
        <f t="shared" si="28"/>
        <v>26</v>
      </c>
      <c r="L110" s="47">
        <f t="shared" si="28"/>
        <v>21045.473100000003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'2015-16'!L113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21408.2621</v>
      </c>
      <c r="C115" s="47">
        <f>+SUM(C110,C113)</f>
        <v>724.2109999999993</v>
      </c>
      <c r="D115" s="47">
        <f aca="true" t="shared" si="29" ref="D115:L115">+SUM(D110,D113)</f>
        <v>0</v>
      </c>
      <c r="E115" s="47">
        <f t="shared" si="29"/>
        <v>166</v>
      </c>
      <c r="F115" s="47">
        <f t="shared" si="29"/>
        <v>-202</v>
      </c>
      <c r="G115" s="47">
        <f t="shared" si="29"/>
        <v>-383</v>
      </c>
      <c r="H115" s="47">
        <f t="shared" si="29"/>
        <v>-36</v>
      </c>
      <c r="I115" s="47">
        <f t="shared" si="29"/>
        <v>-648</v>
      </c>
      <c r="J115" s="47">
        <f t="shared" si="29"/>
        <v>-10</v>
      </c>
      <c r="K115" s="47">
        <f t="shared" si="29"/>
        <v>26</v>
      </c>
      <c r="L115" s="47">
        <f t="shared" si="29"/>
        <v>21045.473100000003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+SUM(B119:B122)</f>
        <v>-21407.986</v>
      </c>
      <c r="C118" s="47">
        <f aca="true" t="shared" si="30" ref="C118:L118">+SUM(C119:C122)</f>
        <v>362.72000000000025</v>
      </c>
      <c r="D118" s="47">
        <f t="shared" si="30"/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-21045.266000000003</v>
      </c>
      <c r="M118" s="37"/>
    </row>
    <row r="119" spans="1:13" ht="12.75" hidden="1" outlineLevel="1">
      <c r="A119" s="76" t="s">
        <v>108</v>
      </c>
      <c r="B119" s="38">
        <f>'2015-16'!L119</f>
        <v>-4373</v>
      </c>
      <c r="C119" s="24">
        <f>4373-3611</f>
        <v>762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-3611</v>
      </c>
      <c r="M119" s="37"/>
    </row>
    <row r="120" spans="1:13" ht="12.75" hidden="1" outlineLevel="1">
      <c r="A120" s="76" t="s">
        <v>109</v>
      </c>
      <c r="B120" s="38">
        <f>'2015-16'!L120</f>
        <v>-5317.762</v>
      </c>
      <c r="C120" s="24">
        <f>-5424.117+5317.762</f>
        <v>-106.35500000000047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-5424.117</v>
      </c>
      <c r="M120" s="37"/>
    </row>
    <row r="121" spans="1:13" ht="12.75" hidden="1" outlineLevel="1">
      <c r="A121" s="80" t="s">
        <v>110</v>
      </c>
      <c r="B121" s="38">
        <f>'2015-16'!L121</f>
        <v>-11871.396</v>
      </c>
      <c r="C121" s="24">
        <f>-12164.321-B121</f>
        <v>-292.9249999999993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-12164.321</v>
      </c>
      <c r="M121" s="37"/>
    </row>
    <row r="122" spans="1:13" ht="12.75" hidden="1" outlineLevel="1">
      <c r="A122" s="80" t="s">
        <v>111</v>
      </c>
      <c r="B122" s="38">
        <f>'2015-16'!L122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'2015-16'!L123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0.2760999999991327</v>
      </c>
      <c r="C125" s="24">
        <f t="shared" si="31"/>
        <v>1086.9309999999996</v>
      </c>
      <c r="D125" s="24">
        <f t="shared" si="31"/>
        <v>0</v>
      </c>
      <c r="E125" s="24">
        <f t="shared" si="31"/>
        <v>166</v>
      </c>
      <c r="F125" s="24">
        <f t="shared" si="31"/>
        <v>-202</v>
      </c>
      <c r="G125" s="24">
        <f t="shared" si="31"/>
        <v>-383</v>
      </c>
      <c r="H125" s="24">
        <f t="shared" si="31"/>
        <v>-36</v>
      </c>
      <c r="I125" s="24">
        <f t="shared" si="31"/>
        <v>-648</v>
      </c>
      <c r="J125" s="24">
        <f t="shared" si="31"/>
        <v>-10</v>
      </c>
      <c r="K125" s="24">
        <f t="shared" si="31"/>
        <v>26</v>
      </c>
      <c r="L125" s="24">
        <f t="shared" si="31"/>
        <v>0.20709999999962747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85 M62 M64 M54 M26 M19 M3:M4 M6 M13 M24 M97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7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2" manualBreakCount="2">
    <brk id="40" max="12" man="1"/>
    <brk id="8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47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E151" sqref="E151"/>
    </sheetView>
  </sheetViews>
  <sheetFormatPr defaultColWidth="9.140625" defaultRowHeight="12.75" outlineLevelRow="1"/>
  <cols>
    <col min="1" max="1" width="42.140625" style="40" customWidth="1"/>
    <col min="2" max="2" width="17.42187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8" t="s">
        <v>116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9.25" customHeight="1">
      <c r="A3" s="18"/>
      <c r="B3" s="1" t="s">
        <v>92</v>
      </c>
      <c r="C3" s="49" t="s">
        <v>11</v>
      </c>
      <c r="D3" s="97" t="s">
        <v>12</v>
      </c>
      <c r="E3" s="116" t="s">
        <v>34</v>
      </c>
      <c r="F3" s="62" t="s">
        <v>26</v>
      </c>
      <c r="G3" s="62" t="s">
        <v>27</v>
      </c>
      <c r="H3" s="62" t="s">
        <v>28</v>
      </c>
      <c r="I3" s="62" t="s">
        <v>29</v>
      </c>
      <c r="J3" s="62" t="s">
        <v>30</v>
      </c>
      <c r="K3" s="62" t="s">
        <v>74</v>
      </c>
      <c r="L3" s="1" t="s">
        <v>93</v>
      </c>
      <c r="M3" s="84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117" t="s">
        <v>54</v>
      </c>
      <c r="F4" s="67" t="s">
        <v>54</v>
      </c>
      <c r="G4" s="67" t="s">
        <v>54</v>
      </c>
      <c r="H4" s="67" t="s">
        <v>54</v>
      </c>
      <c r="I4" s="67" t="s">
        <v>54</v>
      </c>
      <c r="J4" s="67" t="s">
        <v>54</v>
      </c>
      <c r="K4" s="67" t="s">
        <v>54</v>
      </c>
      <c r="L4" s="70" t="s">
        <v>54</v>
      </c>
      <c r="M4" s="95"/>
    </row>
    <row r="5" spans="1:13" s="31" customFormat="1" ht="15.75">
      <c r="A5" s="52" t="s">
        <v>41</v>
      </c>
      <c r="B5" s="25">
        <f>+B7+B14+B20</f>
        <v>-1072.2619999999988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0</v>
      </c>
      <c r="G5" s="30">
        <f t="shared" si="0"/>
        <v>0</v>
      </c>
      <c r="H5" s="26">
        <f t="shared" si="0"/>
        <v>0</v>
      </c>
      <c r="I5" s="30">
        <f t="shared" si="0"/>
        <v>0</v>
      </c>
      <c r="J5" s="26">
        <f t="shared" si="0"/>
        <v>-9</v>
      </c>
      <c r="K5" s="30">
        <f t="shared" si="0"/>
        <v>0</v>
      </c>
      <c r="L5" s="25">
        <f>+L7+L14+L20</f>
        <v>-1081.2619999999988</v>
      </c>
      <c r="M5" s="53">
        <f>+(L5-B5)/B5</f>
        <v>0.008393470998692493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1508.5030000000002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0</v>
      </c>
      <c r="G7" s="34">
        <f t="shared" si="1"/>
        <v>0</v>
      </c>
      <c r="H7" s="11">
        <f t="shared" si="1"/>
        <v>0</v>
      </c>
      <c r="I7" s="34">
        <f t="shared" si="1"/>
        <v>0</v>
      </c>
      <c r="J7" s="11">
        <f t="shared" si="1"/>
        <v>-9</v>
      </c>
      <c r="K7" s="34">
        <f t="shared" si="1"/>
        <v>0</v>
      </c>
      <c r="L7" s="9">
        <f>+SUM(L8:L12)</f>
        <v>1499.5030000000002</v>
      </c>
      <c r="M7" s="55">
        <f aca="true" t="shared" si="2" ref="M7:M12">+(L7-B7)/B7</f>
        <v>-0.005966179715917038</v>
      </c>
    </row>
    <row r="8" spans="1:13" ht="12.75">
      <c r="A8" s="2" t="s">
        <v>43</v>
      </c>
      <c r="B8" s="12">
        <f>'2016-17'!L8</f>
        <v>-8.434000000000001</v>
      </c>
      <c r="C8" s="36"/>
      <c r="D8" s="13"/>
      <c r="E8" s="36"/>
      <c r="F8" s="13"/>
      <c r="G8" s="36"/>
      <c r="H8" s="13"/>
      <c r="I8" s="36"/>
      <c r="J8" s="13">
        <v>-9</v>
      </c>
      <c r="K8" s="36"/>
      <c r="L8" s="12">
        <f>+B8+SUM(C8:K8)</f>
        <v>-17.434</v>
      </c>
      <c r="M8" s="56">
        <f t="shared" si="2"/>
        <v>1.0671093194213894</v>
      </c>
    </row>
    <row r="9" spans="1:13" ht="12.75">
      <c r="A9" s="2" t="s">
        <v>44</v>
      </c>
      <c r="B9" s="12">
        <f>'2016-17'!L9</f>
        <v>69.22500000000001</v>
      </c>
      <c r="C9" s="36"/>
      <c r="D9" s="13"/>
      <c r="E9" s="36"/>
      <c r="F9" s="13"/>
      <c r="G9" s="36"/>
      <c r="H9" s="13"/>
      <c r="I9" s="36"/>
      <c r="J9" s="13"/>
      <c r="K9" s="36"/>
      <c r="L9" s="12">
        <f>+B9+SUM(C9:K9)</f>
        <v>69.22500000000001</v>
      </c>
      <c r="M9" s="56">
        <f t="shared" si="2"/>
        <v>0</v>
      </c>
    </row>
    <row r="10" spans="1:13" ht="12.75">
      <c r="A10" s="2" t="s">
        <v>68</v>
      </c>
      <c r="B10" s="12">
        <f>'2016-17'!L10</f>
        <v>492.351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492.351</v>
      </c>
      <c r="M10" s="56">
        <f t="shared" si="2"/>
        <v>0</v>
      </c>
    </row>
    <row r="11" spans="1:13" ht="12.75">
      <c r="A11" s="2" t="s">
        <v>45</v>
      </c>
      <c r="B11" s="12">
        <f>'2016-17'!L11</f>
        <v>-31.374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-31.374</v>
      </c>
      <c r="M11" s="56">
        <f t="shared" si="2"/>
        <v>0</v>
      </c>
    </row>
    <row r="12" spans="1:13" ht="12.75">
      <c r="A12" s="2" t="s">
        <v>61</v>
      </c>
      <c r="B12" s="12">
        <f>'2016-17'!L12</f>
        <v>986.7350000000001</v>
      </c>
      <c r="C12" s="36"/>
      <c r="D12" s="13"/>
      <c r="E12" s="36"/>
      <c r="F12" s="13"/>
      <c r="G12" s="36"/>
      <c r="H12" s="13"/>
      <c r="I12" s="36"/>
      <c r="J12" s="13"/>
      <c r="K12" s="36"/>
      <c r="L12" s="12">
        <f>+B12+SUM(C12:K12)</f>
        <v>986.7350000000001</v>
      </c>
      <c r="M12" s="56">
        <f t="shared" si="2"/>
        <v>0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-5274.236999999999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0</v>
      </c>
      <c r="I14" s="33">
        <f t="shared" si="3"/>
        <v>0</v>
      </c>
      <c r="J14" s="10">
        <f t="shared" si="3"/>
        <v>0</v>
      </c>
      <c r="K14" s="33">
        <f t="shared" si="3"/>
        <v>0</v>
      </c>
      <c r="L14" s="9">
        <f>+SUM(L15:L18)</f>
        <v>-5274.236999999999</v>
      </c>
      <c r="M14" s="55">
        <f>+(L14-B14)/B14</f>
        <v>0</v>
      </c>
    </row>
    <row r="15" spans="1:13" ht="12.75">
      <c r="A15" s="4" t="s">
        <v>62</v>
      </c>
      <c r="B15" s="12">
        <f>'2016-17'!L15</f>
        <v>-6416.509</v>
      </c>
      <c r="C15" s="39"/>
      <c r="D15" s="15"/>
      <c r="E15" s="39"/>
      <c r="F15" s="15"/>
      <c r="G15" s="39"/>
      <c r="H15" s="15"/>
      <c r="I15" s="39"/>
      <c r="J15" s="15"/>
      <c r="K15" s="39"/>
      <c r="L15" s="12">
        <f>+B15+SUM(C15:K15)</f>
        <v>-6416.509</v>
      </c>
      <c r="M15" s="56">
        <f>+(L15-B15)/B15</f>
        <v>0</v>
      </c>
    </row>
    <row r="16" spans="1:13" ht="12.75">
      <c r="A16" s="4" t="s">
        <v>63</v>
      </c>
      <c r="B16" s="12">
        <f>'2016-17'!L16</f>
        <v>479.877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479.877</v>
      </c>
      <c r="M16" s="56">
        <f>+(L16-B16)/B16</f>
        <v>0</v>
      </c>
    </row>
    <row r="17" spans="1:13" ht="12.75">
      <c r="A17" s="4" t="s">
        <v>64</v>
      </c>
      <c r="B17" s="12">
        <f>'2016-17'!L17</f>
        <v>308.317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308.317</v>
      </c>
      <c r="M17" s="56">
        <f>+(L17-B17)/B17</f>
        <v>0</v>
      </c>
    </row>
    <row r="18" spans="1:13" ht="12.75">
      <c r="A18" s="4" t="s">
        <v>68</v>
      </c>
      <c r="B18" s="12">
        <f>'2016-17'!L18</f>
        <v>354.07800000000003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354.07800000000003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2693.472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0</v>
      </c>
      <c r="G20" s="33">
        <f t="shared" si="4"/>
        <v>0</v>
      </c>
      <c r="H20" s="10">
        <f t="shared" si="4"/>
        <v>0</v>
      </c>
      <c r="I20" s="33">
        <f t="shared" si="4"/>
        <v>0</v>
      </c>
      <c r="J20" s="10">
        <f t="shared" si="4"/>
        <v>0</v>
      </c>
      <c r="K20" s="33">
        <f t="shared" si="4"/>
        <v>0</v>
      </c>
      <c r="L20" s="9">
        <f t="shared" si="4"/>
        <v>2693.472</v>
      </c>
      <c r="M20" s="55">
        <f>+(L20-B20)/B20</f>
        <v>0</v>
      </c>
    </row>
    <row r="21" spans="1:13" ht="12.75">
      <c r="A21" s="3" t="s">
        <v>17</v>
      </c>
      <c r="B21" s="12">
        <f>'2016-17'!L21</f>
        <v>649.119</v>
      </c>
      <c r="C21" s="39"/>
      <c r="D21" s="15"/>
      <c r="E21" s="39"/>
      <c r="F21" s="15"/>
      <c r="G21" s="39"/>
      <c r="H21" s="15"/>
      <c r="I21" s="39"/>
      <c r="J21" s="15"/>
      <c r="K21" s="39"/>
      <c r="L21" s="12">
        <f>+B21+SUM(C21:K21)</f>
        <v>649.119</v>
      </c>
      <c r="M21" s="56">
        <f>+(L21-B21)/B21</f>
        <v>0</v>
      </c>
    </row>
    <row r="22" spans="1:13" ht="12.75">
      <c r="A22" s="3" t="s">
        <v>18</v>
      </c>
      <c r="B22" s="12">
        <f>'2016-17'!L22</f>
        <v>2811.228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2811.228</v>
      </c>
      <c r="M22" s="56">
        <f>+(L22-B22)/B22</f>
        <v>0</v>
      </c>
    </row>
    <row r="23" spans="1:13" ht="12.75">
      <c r="A23" s="3" t="s">
        <v>106</v>
      </c>
      <c r="B23" s="14">
        <f>'2016-17'!L23</f>
        <v>-766.875</v>
      </c>
      <c r="C23" s="33"/>
      <c r="D23" s="10"/>
      <c r="E23" s="33"/>
      <c r="F23" s="10"/>
      <c r="G23" s="39"/>
      <c r="H23" s="10"/>
      <c r="I23" s="33"/>
      <c r="J23" s="10"/>
      <c r="K23" s="33"/>
      <c r="L23" s="12">
        <f>+B23+SUM(C23:K23)</f>
        <v>-766.875</v>
      </c>
      <c r="M23" s="56">
        <f>+(L23-B23)/B23</f>
        <v>0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3931.4231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-110</v>
      </c>
      <c r="G25" s="30">
        <f t="shared" si="5"/>
        <v>-120</v>
      </c>
      <c r="H25" s="26">
        <f t="shared" si="5"/>
        <v>-38</v>
      </c>
      <c r="I25" s="30">
        <f t="shared" si="5"/>
        <v>0</v>
      </c>
      <c r="J25" s="26">
        <f t="shared" si="5"/>
        <v>0</v>
      </c>
      <c r="K25" s="30">
        <f t="shared" si="5"/>
        <v>0</v>
      </c>
      <c r="L25" s="25">
        <f t="shared" si="5"/>
        <v>3668.4231</v>
      </c>
      <c r="M25" s="53">
        <f>+(L25-B25)/B25</f>
        <v>-0.06689689542700199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162.74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162.74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'2016-17'!L28</f>
        <v>-17.563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-17.563</v>
      </c>
      <c r="M28" s="56">
        <f t="shared" si="7"/>
        <v>0</v>
      </c>
    </row>
    <row r="29" spans="1:13" ht="12.75">
      <c r="A29" s="2" t="s">
        <v>35</v>
      </c>
      <c r="B29" s="12">
        <f>'2016-17'!L29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'2016-17'!L30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'2016-17'!L31</f>
        <v>171.51899999999998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171.51899999999998</v>
      </c>
      <c r="M31" s="56">
        <f t="shared" si="7"/>
        <v>0</v>
      </c>
    </row>
    <row r="32" spans="1:13" ht="12.75">
      <c r="A32" s="2" t="s">
        <v>19</v>
      </c>
      <c r="B32" s="12">
        <f>'2016-17'!L32</f>
        <v>-47.563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-47.563</v>
      </c>
      <c r="M32" s="56">
        <f t="shared" si="7"/>
        <v>0</v>
      </c>
    </row>
    <row r="33" spans="1:13" ht="12.75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450.8961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0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455.8961</v>
      </c>
      <c r="M34" s="55">
        <f aca="true" t="shared" si="9" ref="M34:M39">+(L34-B34)/B34</f>
        <v>0.011089029157715048</v>
      </c>
    </row>
    <row r="35" spans="1:13" ht="12.75">
      <c r="A35" s="99" t="s">
        <v>94</v>
      </c>
      <c r="B35" s="12">
        <f>'2016-17'!L35</f>
        <v>-40.891</v>
      </c>
      <c r="C35" s="39"/>
      <c r="D35" s="15"/>
      <c r="E35" s="39"/>
      <c r="F35" s="15"/>
      <c r="G35" s="39"/>
      <c r="H35" s="15"/>
      <c r="I35" s="39"/>
      <c r="J35" s="15"/>
      <c r="K35" s="39"/>
      <c r="L35" s="12">
        <f>+B35+SUM(C35:K35)</f>
        <v>-40.891</v>
      </c>
      <c r="M35" s="56">
        <f t="shared" si="9"/>
        <v>0</v>
      </c>
    </row>
    <row r="36" spans="1:13" ht="12.75">
      <c r="A36" s="99" t="s">
        <v>0</v>
      </c>
      <c r="B36" s="12">
        <f>'2016-17'!L36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'2016-17'!L37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'2016-17'!L38</f>
        <v>47.184099999999994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47.184099999999994</v>
      </c>
      <c r="M38" s="56">
        <f t="shared" si="9"/>
        <v>0</v>
      </c>
    </row>
    <row r="39" spans="1:13" ht="12.75">
      <c r="A39" s="3" t="s">
        <v>77</v>
      </c>
      <c r="B39" s="12">
        <f>'2016-17'!L39</f>
        <v>149.91700000000003</v>
      </c>
      <c r="C39" s="39"/>
      <c r="D39" s="15"/>
      <c r="E39" s="39">
        <v>5</v>
      </c>
      <c r="F39" s="15"/>
      <c r="G39" s="39"/>
      <c r="H39" s="15"/>
      <c r="I39" s="39"/>
      <c r="J39" s="15"/>
      <c r="K39" s="39"/>
      <c r="L39" s="12">
        <f>+B39+SUM(C39:K39)</f>
        <v>154.91700000000003</v>
      </c>
      <c r="M39" s="56">
        <f t="shared" si="9"/>
        <v>0.0333517879893541</v>
      </c>
    </row>
    <row r="40" spans="1:14" ht="12.75">
      <c r="A40" s="20"/>
      <c r="B40" s="105"/>
      <c r="C40" s="39"/>
      <c r="D40" s="15"/>
      <c r="E40" s="39"/>
      <c r="F40" s="106"/>
      <c r="G40" s="106"/>
      <c r="H40" s="106"/>
      <c r="I40" s="106"/>
      <c r="J40" s="106"/>
      <c r="K40" s="106"/>
      <c r="L40" s="107"/>
      <c r="M40" s="108"/>
      <c r="N40" s="109"/>
    </row>
    <row r="41" spans="1:13" ht="12.75">
      <c r="A41" s="5" t="s">
        <v>39</v>
      </c>
      <c r="B41" s="9">
        <f>+SUM(B42:B46)</f>
        <v>3253.957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-110</v>
      </c>
      <c r="G41" s="33">
        <f t="shared" si="10"/>
        <v>-120</v>
      </c>
      <c r="H41" s="10">
        <f t="shared" si="10"/>
        <v>-38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2985.957</v>
      </c>
      <c r="M41" s="55">
        <f aca="true" t="shared" si="11" ref="M41:M46">+(L41-B41)/B41</f>
        <v>-0.08236126045918861</v>
      </c>
    </row>
    <row r="42" spans="1:13" ht="12.75">
      <c r="A42" s="3" t="s">
        <v>78</v>
      </c>
      <c r="B42" s="12">
        <f>'2016-17'!L42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'2016-17'!L43</f>
        <v>-228.683</v>
      </c>
      <c r="C43" s="39"/>
      <c r="D43" s="15"/>
      <c r="E43" s="39"/>
      <c r="F43" s="15"/>
      <c r="G43" s="39">
        <f>-45+-75</f>
        <v>-120</v>
      </c>
      <c r="H43" s="15"/>
      <c r="I43" s="39"/>
      <c r="J43" s="15"/>
      <c r="K43" s="39"/>
      <c r="L43" s="12">
        <f>+B43+SUM(C43:K43)</f>
        <v>-348.683</v>
      </c>
      <c r="M43" s="56">
        <f t="shared" si="11"/>
        <v>0.5247438594036287</v>
      </c>
    </row>
    <row r="44" spans="1:13" ht="12.75">
      <c r="A44" s="3" t="s">
        <v>19</v>
      </c>
      <c r="B44" s="12">
        <f>'2016-17'!L44</f>
        <v>1162.6609999999998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1124.6609999999998</v>
      </c>
      <c r="M44" s="56">
        <f t="shared" si="11"/>
        <v>-0.032683645533822844</v>
      </c>
    </row>
    <row r="45" spans="1:13" ht="12.75">
      <c r="A45" s="3" t="s">
        <v>53</v>
      </c>
      <c r="B45" s="12">
        <f>'2016-17'!L45</f>
        <v>2290.114</v>
      </c>
      <c r="C45" s="39"/>
      <c r="D45" s="15"/>
      <c r="E45" s="39"/>
      <c r="F45" s="15">
        <f>-25+-85</f>
        <v>-110</v>
      </c>
      <c r="G45" s="39"/>
      <c r="H45" s="15"/>
      <c r="I45" s="39"/>
      <c r="J45" s="15"/>
      <c r="K45" s="39"/>
      <c r="L45" s="12">
        <f>+B45+SUM(C45:K45)</f>
        <v>2180.114</v>
      </c>
      <c r="M45" s="56">
        <f t="shared" si="11"/>
        <v>-0.04803254335810357</v>
      </c>
    </row>
    <row r="46" spans="1:13" ht="12.75">
      <c r="A46" s="3" t="s">
        <v>80</v>
      </c>
      <c r="B46" s="12">
        <f>'2016-17'!L46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104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107.488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0</v>
      </c>
      <c r="G48" s="34">
        <f t="shared" si="12"/>
        <v>0</v>
      </c>
      <c r="H48" s="11">
        <f t="shared" si="12"/>
        <v>0</v>
      </c>
      <c r="I48" s="34">
        <f t="shared" si="12"/>
        <v>0</v>
      </c>
      <c r="J48" s="11">
        <f t="shared" si="12"/>
        <v>0</v>
      </c>
      <c r="K48" s="34">
        <f t="shared" si="12"/>
        <v>0</v>
      </c>
      <c r="L48" s="9">
        <f t="shared" si="12"/>
        <v>107.488</v>
      </c>
      <c r="M48" s="55">
        <f aca="true" t="shared" si="13" ref="M48:M53">+(L48-B48)/B48</f>
        <v>0</v>
      </c>
    </row>
    <row r="49" spans="1:13" ht="12.75">
      <c r="A49" s="2" t="s">
        <v>81</v>
      </c>
      <c r="B49" s="12">
        <f>'2016-17'!L49</f>
        <v>109.21699999999998</v>
      </c>
      <c r="C49" s="39"/>
      <c r="D49" s="15"/>
      <c r="E49" s="39"/>
      <c r="F49" s="15"/>
      <c r="G49" s="39"/>
      <c r="H49" s="15"/>
      <c r="I49" s="39"/>
      <c r="J49" s="15"/>
      <c r="K49" s="39"/>
      <c r="L49" s="12">
        <f>+B49+SUM(C49:K49)</f>
        <v>109.21699999999998</v>
      </c>
      <c r="M49" s="56">
        <f t="shared" si="13"/>
        <v>0</v>
      </c>
    </row>
    <row r="50" spans="1:13" ht="12.75">
      <c r="A50" s="2" t="s">
        <v>82</v>
      </c>
      <c r="B50" s="12">
        <f>'2016-17'!L50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'2016-17'!L51</f>
        <v>-5.283999999999999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-5.283999999999999</v>
      </c>
      <c r="M51" s="56">
        <f t="shared" si="13"/>
        <v>0</v>
      </c>
    </row>
    <row r="52" spans="1:13" ht="12.75">
      <c r="A52" s="2" t="s">
        <v>38</v>
      </c>
      <c r="B52" s="12">
        <f>'2016-17'!L52</f>
        <v>2.5869999999999997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2.5869999999999997</v>
      </c>
      <c r="M52" s="56">
        <f t="shared" si="13"/>
        <v>0</v>
      </c>
    </row>
    <row r="53" spans="1:13" ht="12.75">
      <c r="A53" s="20" t="s">
        <v>83</v>
      </c>
      <c r="B53" s="12">
        <f>'2016-17'!L53</f>
        <v>0.9280000000000115</v>
      </c>
      <c r="C53" s="39"/>
      <c r="D53" s="15"/>
      <c r="E53" s="39"/>
      <c r="F53" s="15"/>
      <c r="G53" s="39"/>
      <c r="H53" s="15"/>
      <c r="I53" s="39"/>
      <c r="J53" s="15"/>
      <c r="K53" s="39"/>
      <c r="L53" s="12">
        <f>+B53+SUM(C53:K53)</f>
        <v>0.9280000000000115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-43.658000000000015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-43.658000000000015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'2016-17'!L56</f>
        <v>-3.896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-3.896</v>
      </c>
      <c r="M56" s="56">
        <f t="shared" si="15"/>
        <v>0</v>
      </c>
    </row>
    <row r="57" spans="1:13" ht="12.75">
      <c r="A57" s="3" t="s">
        <v>2</v>
      </c>
      <c r="B57" s="12">
        <f>'2016-17'!L57</f>
        <v>214.981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214.981</v>
      </c>
      <c r="M57" s="56">
        <f t="shared" si="15"/>
        <v>0</v>
      </c>
    </row>
    <row r="58" spans="1:13" ht="12.75">
      <c r="A58" s="3" t="s">
        <v>48</v>
      </c>
      <c r="B58" s="12">
        <f>'2016-17'!L58</f>
        <v>80.98399999999998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80.98399999999998</v>
      </c>
      <c r="M58" s="56">
        <f t="shared" si="15"/>
        <v>0</v>
      </c>
    </row>
    <row r="59" spans="1:13" ht="12.75">
      <c r="A59" s="3" t="s">
        <v>49</v>
      </c>
      <c r="B59" s="12">
        <f>'2016-17'!L59</f>
        <v>2.466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2.466</v>
      </c>
      <c r="M59" s="56">
        <f t="shared" si="15"/>
        <v>0</v>
      </c>
    </row>
    <row r="60" spans="1:13" ht="12.75">
      <c r="A60" s="3" t="s">
        <v>50</v>
      </c>
      <c r="B60" s="12">
        <f>'2016-17'!L60</f>
        <v>0.29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0.29</v>
      </c>
      <c r="M60" s="56">
        <f t="shared" si="15"/>
        <v>0</v>
      </c>
    </row>
    <row r="61" spans="1:13" ht="12.75">
      <c r="A61" s="3" t="s">
        <v>51</v>
      </c>
      <c r="B61" s="12">
        <f>'2016-17'!L61</f>
        <v>-338.483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-338.483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12290.399000000001</v>
      </c>
      <c r="C63" s="30">
        <f t="shared" si="17"/>
        <v>0</v>
      </c>
      <c r="D63" s="26">
        <f t="shared" si="17"/>
        <v>0</v>
      </c>
      <c r="E63" s="30">
        <f t="shared" si="17"/>
        <v>166</v>
      </c>
      <c r="F63" s="26">
        <f t="shared" si="17"/>
        <v>0</v>
      </c>
      <c r="G63" s="30">
        <f t="shared" si="17"/>
        <v>-540</v>
      </c>
      <c r="H63" s="26">
        <f t="shared" si="17"/>
        <v>0</v>
      </c>
      <c r="I63" s="30">
        <f t="shared" si="17"/>
        <v>-16</v>
      </c>
      <c r="J63" s="26">
        <f t="shared" si="17"/>
        <v>0</v>
      </c>
      <c r="K63" s="30">
        <f t="shared" si="17"/>
        <v>0</v>
      </c>
      <c r="L63" s="25">
        <f t="shared" si="17"/>
        <v>11900.399000000001</v>
      </c>
      <c r="M63" s="53">
        <f>+(L63-B63)/B63</f>
        <v>-0.03173208615928579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+SUM(B66:B70)</f>
        <v>2630.1859999999997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0</v>
      </c>
      <c r="H65" s="10">
        <f t="shared" si="18"/>
        <v>0</v>
      </c>
      <c r="I65" s="33">
        <f t="shared" si="18"/>
        <v>0</v>
      </c>
      <c r="J65" s="10">
        <f t="shared" si="18"/>
        <v>0</v>
      </c>
      <c r="K65" s="33">
        <f t="shared" si="18"/>
        <v>0</v>
      </c>
      <c r="L65" s="9">
        <f t="shared" si="18"/>
        <v>2630.1859999999997</v>
      </c>
      <c r="M65" s="55">
        <f aca="true" t="shared" si="19" ref="M65:M70">+(L65-B65)/B65</f>
        <v>0</v>
      </c>
    </row>
    <row r="66" spans="1:13" ht="12.75">
      <c r="A66" s="2" t="s">
        <v>96</v>
      </c>
      <c r="B66" s="12">
        <f>'2016-17'!L66</f>
        <v>455.87</v>
      </c>
      <c r="C66" s="39"/>
      <c r="D66" s="15"/>
      <c r="E66" s="39"/>
      <c r="F66" s="15"/>
      <c r="G66" s="39"/>
      <c r="H66" s="15"/>
      <c r="I66" s="39"/>
      <c r="J66" s="15"/>
      <c r="K66" s="39"/>
      <c r="L66" s="12">
        <f>+B66+SUM(C66:K66)</f>
        <v>455.87</v>
      </c>
      <c r="M66" s="56">
        <f t="shared" si="19"/>
        <v>0</v>
      </c>
    </row>
    <row r="67" spans="1:13" ht="12.75">
      <c r="A67" s="2" t="s">
        <v>47</v>
      </c>
      <c r="B67" s="12">
        <f>'2016-17'!L67</f>
        <v>568.803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568.803</v>
      </c>
      <c r="M67" s="56">
        <f t="shared" si="19"/>
        <v>0</v>
      </c>
    </row>
    <row r="68" spans="1:13" ht="12.75">
      <c r="A68" s="2" t="s">
        <v>97</v>
      </c>
      <c r="B68" s="12">
        <f>'2016-17'!L68</f>
        <v>1356.747</v>
      </c>
      <c r="C68" s="39"/>
      <c r="D68" s="15"/>
      <c r="E68" s="39"/>
      <c r="F68" s="15"/>
      <c r="G68" s="39"/>
      <c r="H68" s="15"/>
      <c r="I68" s="39"/>
      <c r="J68" s="15"/>
      <c r="K68" s="39"/>
      <c r="L68" s="12">
        <f>+B68+SUM(C68:K68)</f>
        <v>1356.747</v>
      </c>
      <c r="M68" s="56">
        <f t="shared" si="19"/>
        <v>0</v>
      </c>
    </row>
    <row r="69" spans="1:13" ht="12.75">
      <c r="A69" s="2" t="s">
        <v>105</v>
      </c>
      <c r="B69" s="12">
        <f>'2016-17'!L69</f>
        <v>88.557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88.557</v>
      </c>
      <c r="M69" s="56">
        <f t="shared" si="19"/>
        <v>0</v>
      </c>
    </row>
    <row r="70" spans="1:13" ht="12.75">
      <c r="A70" s="2" t="s">
        <v>98</v>
      </c>
      <c r="B70" s="12">
        <f>'2016-17'!L70</f>
        <v>160.209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160.209</v>
      </c>
      <c r="M70" s="56">
        <f t="shared" si="19"/>
        <v>0</v>
      </c>
    </row>
    <row r="71" spans="1:13" ht="15" customHeight="1">
      <c r="A71" s="6"/>
      <c r="B71" s="16"/>
      <c r="C71" s="41"/>
      <c r="D71" s="17"/>
      <c r="E71" s="41"/>
      <c r="F71" s="17"/>
      <c r="G71" s="41"/>
      <c r="H71" s="17"/>
      <c r="I71" s="41"/>
      <c r="J71" s="17"/>
      <c r="K71" s="41"/>
      <c r="L71" s="16"/>
      <c r="M71" s="54"/>
    </row>
    <row r="72" spans="1:13" ht="12.75">
      <c r="A72" s="5" t="s">
        <v>73</v>
      </c>
      <c r="B72" s="9">
        <f>+SUM(B73:B84)</f>
        <v>2258.166000000001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166</v>
      </c>
      <c r="F72" s="10">
        <f t="shared" si="20"/>
        <v>0</v>
      </c>
      <c r="G72" s="33">
        <f t="shared" si="20"/>
        <v>-540</v>
      </c>
      <c r="H72" s="10">
        <f t="shared" si="20"/>
        <v>0</v>
      </c>
      <c r="I72" s="33">
        <f t="shared" si="20"/>
        <v>-16</v>
      </c>
      <c r="J72" s="10">
        <f t="shared" si="20"/>
        <v>0</v>
      </c>
      <c r="K72" s="33">
        <f t="shared" si="20"/>
        <v>0</v>
      </c>
      <c r="L72" s="9">
        <f t="shared" si="20"/>
        <v>1868.166000000001</v>
      </c>
      <c r="M72" s="55">
        <f aca="true" t="shared" si="21" ref="M72:M84">+(L72-B72)/B72</f>
        <v>-0.1727065237896593</v>
      </c>
    </row>
    <row r="73" spans="1:13" ht="12.75">
      <c r="A73" s="21" t="s">
        <v>86</v>
      </c>
      <c r="B73" s="12">
        <f>'2016-17'!L73</f>
        <v>-2193.289</v>
      </c>
      <c r="C73" s="39"/>
      <c r="D73" s="15"/>
      <c r="E73" s="39"/>
      <c r="F73" s="15"/>
      <c r="G73" s="39"/>
      <c r="H73" s="15"/>
      <c r="I73" s="39"/>
      <c r="J73" s="15"/>
      <c r="K73" s="39"/>
      <c r="L73" s="12">
        <f aca="true" t="shared" si="22" ref="L73:L84">+B73+SUM(C73:K73)</f>
        <v>-2193.289</v>
      </c>
      <c r="M73" s="56">
        <f t="shared" si="21"/>
        <v>0</v>
      </c>
    </row>
    <row r="74" spans="1:13" ht="12.75">
      <c r="A74" s="21" t="s">
        <v>87</v>
      </c>
      <c r="B74" s="12">
        <f>'2016-17'!L74</f>
        <v>-439.52899999999994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-439.52899999999994</v>
      </c>
      <c r="M74" s="56">
        <f t="shared" si="21"/>
        <v>0</v>
      </c>
    </row>
    <row r="75" spans="1:13" ht="12.75">
      <c r="A75" s="21" t="s">
        <v>20</v>
      </c>
      <c r="B75" s="12">
        <f>'2016-17'!L75</f>
        <v>-4317.119</v>
      </c>
      <c r="C75" s="39"/>
      <c r="D75" s="15"/>
      <c r="E75" s="39"/>
      <c r="F75" s="15"/>
      <c r="G75" s="39">
        <v>-410</v>
      </c>
      <c r="H75" s="15"/>
      <c r="I75" s="39"/>
      <c r="J75" s="15"/>
      <c r="K75" s="39"/>
      <c r="L75" s="12">
        <f t="shared" si="22"/>
        <v>-4727.119</v>
      </c>
      <c r="M75" s="56">
        <f t="shared" si="21"/>
        <v>0.09497074322018921</v>
      </c>
    </row>
    <row r="76" spans="1:13" ht="12.75">
      <c r="A76" s="21" t="s">
        <v>21</v>
      </c>
      <c r="B76" s="12">
        <f>'2016-17'!L76</f>
        <v>3435.233</v>
      </c>
      <c r="C76" s="39"/>
      <c r="D76" s="15"/>
      <c r="E76" s="39"/>
      <c r="F76" s="15"/>
      <c r="G76" s="39"/>
      <c r="H76" s="15"/>
      <c r="I76" s="39">
        <v>-16</v>
      </c>
      <c r="J76" s="15"/>
      <c r="K76" s="39"/>
      <c r="L76" s="12">
        <f t="shared" si="22"/>
        <v>3419.233</v>
      </c>
      <c r="M76" s="56">
        <f t="shared" si="21"/>
        <v>-0.004657617110687979</v>
      </c>
    </row>
    <row r="77" spans="1:13" ht="12.75">
      <c r="A77" s="21" t="s">
        <v>88</v>
      </c>
      <c r="B77" s="12">
        <f>'2016-17'!L77</f>
        <v>-1360.399</v>
      </c>
      <c r="C77" s="39"/>
      <c r="D77" s="15"/>
      <c r="E77" s="39"/>
      <c r="F77" s="15"/>
      <c r="G77" s="39"/>
      <c r="H77" s="15"/>
      <c r="I77" s="39"/>
      <c r="J77" s="15"/>
      <c r="K77" s="39"/>
      <c r="L77" s="12">
        <f t="shared" si="22"/>
        <v>-1360.399</v>
      </c>
      <c r="M77" s="56">
        <f t="shared" si="21"/>
        <v>0</v>
      </c>
    </row>
    <row r="78" spans="1:13" ht="12.75">
      <c r="A78" s="21" t="s">
        <v>66</v>
      </c>
      <c r="B78" s="12">
        <f>'2016-17'!L78</f>
        <v>-176.066</v>
      </c>
      <c r="C78" s="39"/>
      <c r="D78" s="15"/>
      <c r="E78" s="39">
        <v>13</v>
      </c>
      <c r="F78" s="15"/>
      <c r="G78" s="39"/>
      <c r="H78" s="15"/>
      <c r="I78" s="39"/>
      <c r="J78" s="15"/>
      <c r="K78" s="39"/>
      <c r="L78" s="12">
        <f t="shared" si="22"/>
        <v>-163.066</v>
      </c>
      <c r="M78" s="56">
        <f t="shared" si="21"/>
        <v>-0.07383594788318017</v>
      </c>
    </row>
    <row r="79" spans="1:13" ht="12.75">
      <c r="A79" s="21" t="s">
        <v>22</v>
      </c>
      <c r="B79" s="12">
        <f>'2016-17'!L79</f>
        <v>4043.024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4045.024</v>
      </c>
      <c r="M79" s="56">
        <f t="shared" si="21"/>
        <v>0.0004946792301999692</v>
      </c>
    </row>
    <row r="80" spans="1:13" ht="12.75">
      <c r="A80" s="21" t="s">
        <v>65</v>
      </c>
      <c r="B80" s="12">
        <f>'2016-17'!L80</f>
        <v>-4.563000000000017</v>
      </c>
      <c r="C80" s="39"/>
      <c r="D80" s="15"/>
      <c r="E80" s="39">
        <v>43</v>
      </c>
      <c r="F80" s="15"/>
      <c r="G80" s="39"/>
      <c r="H80" s="15"/>
      <c r="I80" s="39"/>
      <c r="J80" s="15"/>
      <c r="K80" s="39"/>
      <c r="L80" s="12">
        <f t="shared" si="22"/>
        <v>38.43699999999998</v>
      </c>
      <c r="M80" s="56">
        <f t="shared" si="21"/>
        <v>-9.423624808240158</v>
      </c>
    </row>
    <row r="81" spans="1:13" ht="12.75">
      <c r="A81" s="21" t="s">
        <v>23</v>
      </c>
      <c r="B81" s="12">
        <f>'2016-17'!L81</f>
        <v>-55.171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-55.171</v>
      </c>
      <c r="M81" s="56">
        <f t="shared" si="21"/>
        <v>0</v>
      </c>
    </row>
    <row r="82" spans="1:13" ht="12.75">
      <c r="A82" s="21" t="s">
        <v>89</v>
      </c>
      <c r="B82" s="12">
        <f>'2016-17'!L82</f>
        <v>-239.40499999999997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-239.40499999999997</v>
      </c>
      <c r="M82" s="56">
        <f t="shared" si="21"/>
        <v>0</v>
      </c>
    </row>
    <row r="83" spans="1:13" ht="12.75" customHeight="1">
      <c r="A83" s="21" t="s">
        <v>24</v>
      </c>
      <c r="B83" s="12">
        <f>'2016-17'!L83</f>
        <v>2335.934</v>
      </c>
      <c r="C83" s="39"/>
      <c r="D83" s="15"/>
      <c r="E83" s="39"/>
      <c r="F83" s="15"/>
      <c r="G83" s="39">
        <v>-150</v>
      </c>
      <c r="H83" s="15"/>
      <c r="I83" s="39"/>
      <c r="J83" s="15"/>
      <c r="K83" s="39"/>
      <c r="L83" s="12">
        <f t="shared" si="22"/>
        <v>2185.934</v>
      </c>
      <c r="M83" s="56">
        <f t="shared" si="21"/>
        <v>-0.06421414303657551</v>
      </c>
    </row>
    <row r="84" spans="1:13" ht="12.75" customHeight="1">
      <c r="A84" s="21" t="s">
        <v>25</v>
      </c>
      <c r="B84" s="12">
        <f>'2016-17'!L84</f>
        <v>1229.516</v>
      </c>
      <c r="C84" s="39"/>
      <c r="D84" s="15"/>
      <c r="E84" s="39">
        <v>108</v>
      </c>
      <c r="F84" s="15"/>
      <c r="G84" s="39">
        <v>20</v>
      </c>
      <c r="H84" s="15"/>
      <c r="I84" s="39"/>
      <c r="J84" s="15"/>
      <c r="K84" s="39"/>
      <c r="L84" s="12">
        <f t="shared" si="22"/>
        <v>1357.516</v>
      </c>
      <c r="M84" s="56">
        <f t="shared" si="21"/>
        <v>0.10410600594054896</v>
      </c>
    </row>
    <row r="85" spans="1:14" ht="12.75" customHeight="1">
      <c r="A85" s="6"/>
      <c r="B85" s="105"/>
      <c r="C85" s="39"/>
      <c r="D85" s="15"/>
      <c r="E85" s="39"/>
      <c r="F85" s="106"/>
      <c r="G85" s="106"/>
      <c r="H85" s="106"/>
      <c r="I85" s="106"/>
      <c r="J85" s="106"/>
      <c r="K85" s="106"/>
      <c r="L85" s="105"/>
      <c r="M85" s="113"/>
      <c r="N85" s="109"/>
    </row>
    <row r="86" spans="1:13" ht="12.75" customHeight="1">
      <c r="A86" s="7" t="s">
        <v>104</v>
      </c>
      <c r="B86" s="9">
        <f>+SUM(B87:B96)</f>
        <v>7083.393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0</v>
      </c>
      <c r="F86" s="11">
        <f t="shared" si="23"/>
        <v>0</v>
      </c>
      <c r="G86" s="34">
        <f t="shared" si="23"/>
        <v>0</v>
      </c>
      <c r="H86" s="11">
        <f t="shared" si="23"/>
        <v>0</v>
      </c>
      <c r="I86" s="34">
        <f t="shared" si="23"/>
        <v>0</v>
      </c>
      <c r="J86" s="11">
        <f t="shared" si="23"/>
        <v>0</v>
      </c>
      <c r="K86" s="34">
        <f t="shared" si="23"/>
        <v>0</v>
      </c>
      <c r="L86" s="9">
        <f t="shared" si="23"/>
        <v>7083.393</v>
      </c>
      <c r="M86" s="55">
        <f aca="true" t="shared" si="24" ref="M86:M96">+(L86-B86)/B86</f>
        <v>0</v>
      </c>
    </row>
    <row r="87" spans="1:13" ht="12.75">
      <c r="A87" s="4" t="s">
        <v>55</v>
      </c>
      <c r="B87" s="12">
        <f>'2016-17'!L87</f>
        <v>1517.8690000000001</v>
      </c>
      <c r="C87" s="39"/>
      <c r="D87" s="15"/>
      <c r="E87" s="39"/>
      <c r="F87" s="15"/>
      <c r="G87" s="39"/>
      <c r="H87" s="15"/>
      <c r="I87" s="39"/>
      <c r="J87" s="15"/>
      <c r="K87" s="39"/>
      <c r="L87" s="12">
        <f aca="true" t="shared" si="25" ref="L87:L96">+B87+SUM(C87:K87)</f>
        <v>1517.8690000000001</v>
      </c>
      <c r="M87" s="56">
        <f t="shared" si="24"/>
        <v>0</v>
      </c>
    </row>
    <row r="88" spans="1:13" ht="12.75">
      <c r="A88" s="4" t="s">
        <v>72</v>
      </c>
      <c r="B88" s="12">
        <f>'2016-17'!L88</f>
        <v>86.306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86.306</v>
      </c>
      <c r="M88" s="56">
        <f t="shared" si="24"/>
        <v>0</v>
      </c>
    </row>
    <row r="89" spans="1:13" ht="12.75">
      <c r="A89" s="4" t="s">
        <v>56</v>
      </c>
      <c r="B89" s="12">
        <f>'2016-17'!L89</f>
        <v>203.32500000000002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203.32500000000002</v>
      </c>
      <c r="M89" s="56">
        <f t="shared" si="24"/>
        <v>0</v>
      </c>
    </row>
    <row r="90" spans="1:13" ht="12.75">
      <c r="A90" s="4" t="s">
        <v>57</v>
      </c>
      <c r="B90" s="12">
        <f>'2016-17'!L90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'2016-17'!L91</f>
        <v>64.707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64.707</v>
      </c>
      <c r="M91" s="56">
        <f t="shared" si="24"/>
        <v>0</v>
      </c>
    </row>
    <row r="92" spans="1:13" ht="12.75">
      <c r="A92" s="4" t="s">
        <v>59</v>
      </c>
      <c r="B92" s="12">
        <f>'2016-17'!L92</f>
        <v>145.114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145.114</v>
      </c>
      <c r="M92" s="56">
        <f t="shared" si="24"/>
        <v>0</v>
      </c>
    </row>
    <row r="93" spans="1:13" ht="12.75">
      <c r="A93" s="4" t="s">
        <v>60</v>
      </c>
      <c r="B93" s="12">
        <f>'2016-17'!L93</f>
        <v>1662.0739999999998</v>
      </c>
      <c r="C93" s="39"/>
      <c r="D93" s="15"/>
      <c r="E93" s="39"/>
      <c r="F93" s="15"/>
      <c r="G93" s="39"/>
      <c r="H93" s="15"/>
      <c r="I93" s="39"/>
      <c r="J93" s="15"/>
      <c r="K93" s="39"/>
      <c r="L93" s="12">
        <f t="shared" si="25"/>
        <v>1662.0739999999998</v>
      </c>
      <c r="M93" s="56">
        <f t="shared" si="24"/>
        <v>0</v>
      </c>
    </row>
    <row r="94" spans="1:13" ht="12.75">
      <c r="A94" s="101" t="s">
        <v>90</v>
      </c>
      <c r="B94" s="12">
        <f>'2016-17'!L94</f>
        <v>436.01700000000005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436.01700000000005</v>
      </c>
      <c r="M94" s="56">
        <f t="shared" si="24"/>
        <v>0</v>
      </c>
    </row>
    <row r="95" spans="1:13" ht="12.75">
      <c r="A95" s="102" t="s">
        <v>16</v>
      </c>
      <c r="B95" s="12">
        <f>'2016-17'!L95</f>
        <v>2559.838</v>
      </c>
      <c r="C95" s="39"/>
      <c r="D95" s="15"/>
      <c r="E95" s="39"/>
      <c r="F95" s="15"/>
      <c r="G95" s="39"/>
      <c r="H95" s="15"/>
      <c r="I95" s="39"/>
      <c r="J95" s="15"/>
      <c r="K95" s="39"/>
      <c r="L95" s="12">
        <f t="shared" si="25"/>
        <v>2559.838</v>
      </c>
      <c r="M95" s="56">
        <f t="shared" si="24"/>
        <v>0</v>
      </c>
    </row>
    <row r="96" spans="1:13" ht="12.75">
      <c r="A96" s="3" t="s">
        <v>99</v>
      </c>
      <c r="B96" s="12">
        <f>'2016-17'!L96</f>
        <v>383.474</v>
      </c>
      <c r="C96" s="39"/>
      <c r="D96" s="15"/>
      <c r="E96" s="39"/>
      <c r="F96" s="15"/>
      <c r="G96" s="39"/>
      <c r="H96" s="15"/>
      <c r="I96" s="39"/>
      <c r="J96" s="15"/>
      <c r="K96" s="39"/>
      <c r="L96" s="12">
        <f t="shared" si="25"/>
        <v>383.474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318.65400000000005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0</v>
      </c>
      <c r="J98" s="10">
        <f t="shared" si="26"/>
        <v>0</v>
      </c>
      <c r="K98" s="33">
        <f t="shared" si="26"/>
        <v>0</v>
      </c>
      <c r="L98" s="9">
        <f t="shared" si="26"/>
        <v>318.65400000000005</v>
      </c>
      <c r="M98" s="55">
        <f>+(L98-B98)/B98</f>
        <v>0</v>
      </c>
    </row>
    <row r="99" spans="1:13" ht="12.75">
      <c r="A99" s="20" t="s">
        <v>14</v>
      </c>
      <c r="B99" s="12">
        <f>'2016-17'!L99</f>
        <v>-43.361999999999995</v>
      </c>
      <c r="C99" s="39"/>
      <c r="D99" s="15"/>
      <c r="E99" s="39"/>
      <c r="F99" s="15"/>
      <c r="G99" s="39"/>
      <c r="H99" s="15"/>
      <c r="I99" s="39"/>
      <c r="J99" s="15"/>
      <c r="K99" s="39"/>
      <c r="L99" s="12">
        <f>+B99+SUM(C99:K99)</f>
        <v>-43.361999999999995</v>
      </c>
      <c r="M99" s="56">
        <f>+(L99-B99)/B99</f>
        <v>0</v>
      </c>
    </row>
    <row r="100" spans="1:13" ht="12.75">
      <c r="A100" s="20" t="s">
        <v>52</v>
      </c>
      <c r="B100" s="12">
        <f>'2016-17'!L100</f>
        <v>411.663</v>
      </c>
      <c r="C100" s="39"/>
      <c r="D100" s="15"/>
      <c r="E100" s="39"/>
      <c r="F100" s="15"/>
      <c r="G100" s="39"/>
      <c r="H100" s="15"/>
      <c r="I100" s="39"/>
      <c r="J100" s="15"/>
      <c r="K100" s="39"/>
      <c r="L100" s="12">
        <f>+B100+SUM(C100:K100)</f>
        <v>411.663</v>
      </c>
      <c r="M100" s="56">
        <f>+(L100-B100)/B100</f>
        <v>0</v>
      </c>
    </row>
    <row r="101" spans="1:13" ht="12.75">
      <c r="A101" s="20" t="s">
        <v>15</v>
      </c>
      <c r="B101" s="12">
        <f>'2016-17'!L101</f>
        <v>-49.64699999999999</v>
      </c>
      <c r="C101" s="39"/>
      <c r="D101" s="15"/>
      <c r="E101" s="39"/>
      <c r="F101" s="15"/>
      <c r="G101" s="39"/>
      <c r="H101" s="15"/>
      <c r="I101" s="39"/>
      <c r="J101" s="15"/>
      <c r="K101" s="39"/>
      <c r="L101" s="12">
        <f>+B101+SUM(C101:K101)</f>
        <v>-49.64699999999999</v>
      </c>
      <c r="M101" s="56">
        <f>+(L101-B101)/B101</f>
        <v>0</v>
      </c>
    </row>
    <row r="102" spans="1:13" ht="12.75">
      <c r="A102" s="5"/>
      <c r="B102" s="12"/>
      <c r="C102" s="36"/>
      <c r="D102" s="13"/>
      <c r="E102" s="36"/>
      <c r="F102" s="13"/>
      <c r="G102" s="36"/>
      <c r="H102" s="13"/>
      <c r="I102" s="36"/>
      <c r="J102" s="13"/>
      <c r="K102" s="36"/>
      <c r="L102" s="12"/>
      <c r="M102" s="54"/>
    </row>
    <row r="103" spans="1:13" s="31" customFormat="1" ht="41.25" customHeight="1">
      <c r="A103" s="59" t="s">
        <v>71</v>
      </c>
      <c r="B103" s="64">
        <f>+B5+B25+B63</f>
        <v>15149.560100000002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171</v>
      </c>
      <c r="F103" s="63">
        <f t="shared" si="27"/>
        <v>-110</v>
      </c>
      <c r="G103" s="60">
        <f t="shared" si="27"/>
        <v>-660</v>
      </c>
      <c r="H103" s="63">
        <f t="shared" si="27"/>
        <v>-38</v>
      </c>
      <c r="I103" s="60">
        <f t="shared" si="27"/>
        <v>-16</v>
      </c>
      <c r="J103" s="63">
        <f t="shared" si="27"/>
        <v>-9</v>
      </c>
      <c r="K103" s="60">
        <f t="shared" si="27"/>
        <v>0</v>
      </c>
      <c r="L103" s="64">
        <f t="shared" si="27"/>
        <v>14487.560100000002</v>
      </c>
      <c r="M103" s="61">
        <f>+(L103-B103)/B103</f>
        <v>-0.0436976384548618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'2016-17'!L106</f>
        <v>-155.95600000000013</v>
      </c>
      <c r="C106" s="24">
        <f>-1500.826-B106+159+305.844+300</f>
        <v>-580.0259999999998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-735.982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'2016-17'!L108</f>
        <v>6051.869</v>
      </c>
      <c r="C108" s="24">
        <f>6940.694-B108</f>
        <v>888.8250000000007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6940.694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21045.473100000003</v>
      </c>
      <c r="C110" s="47">
        <f t="shared" si="28"/>
        <v>308.7990000000009</v>
      </c>
      <c r="D110" s="47">
        <f t="shared" si="28"/>
        <v>0</v>
      </c>
      <c r="E110" s="47">
        <f t="shared" si="28"/>
        <v>171</v>
      </c>
      <c r="F110" s="47">
        <f t="shared" si="28"/>
        <v>-110</v>
      </c>
      <c r="G110" s="47">
        <f t="shared" si="28"/>
        <v>-660</v>
      </c>
      <c r="H110" s="47">
        <f t="shared" si="28"/>
        <v>-38</v>
      </c>
      <c r="I110" s="47">
        <f t="shared" si="28"/>
        <v>-16</v>
      </c>
      <c r="J110" s="47">
        <f t="shared" si="28"/>
        <v>-9</v>
      </c>
      <c r="K110" s="47">
        <f t="shared" si="28"/>
        <v>0</v>
      </c>
      <c r="L110" s="47">
        <f t="shared" si="28"/>
        <v>20692.272100000002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'2016-17'!L113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21045.473100000003</v>
      </c>
      <c r="C115" s="47">
        <f>+SUM(C110,C113)</f>
        <v>308.7990000000009</v>
      </c>
      <c r="D115" s="47">
        <f aca="true" t="shared" si="29" ref="D115:L115">+SUM(D110,D113)</f>
        <v>0</v>
      </c>
      <c r="E115" s="47">
        <f t="shared" si="29"/>
        <v>171</v>
      </c>
      <c r="F115" s="47">
        <f t="shared" si="29"/>
        <v>-110</v>
      </c>
      <c r="G115" s="47">
        <f t="shared" si="29"/>
        <v>-660</v>
      </c>
      <c r="H115" s="47">
        <f t="shared" si="29"/>
        <v>-38</v>
      </c>
      <c r="I115" s="47">
        <f t="shared" si="29"/>
        <v>-16</v>
      </c>
      <c r="J115" s="47">
        <f t="shared" si="29"/>
        <v>-9</v>
      </c>
      <c r="K115" s="47">
        <f t="shared" si="29"/>
        <v>0</v>
      </c>
      <c r="L115" s="47">
        <f t="shared" si="29"/>
        <v>20692.272100000002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+SUM(B119:B122)</f>
        <v>-21045.266000000003</v>
      </c>
      <c r="C118" s="47">
        <f aca="true" t="shared" si="30" ref="C118:L118">+SUM(C119:C122)</f>
        <v>353.26900000000023</v>
      </c>
      <c r="D118" s="47">
        <f t="shared" si="30"/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-20691.997000000003</v>
      </c>
      <c r="M118" s="37"/>
    </row>
    <row r="119" spans="1:13" ht="12.75" hidden="1" outlineLevel="1">
      <c r="A119" s="76" t="s">
        <v>108</v>
      </c>
      <c r="B119" s="38">
        <f>'2016-17'!L119</f>
        <v>-3611</v>
      </c>
      <c r="C119" s="24">
        <f>-2849+3611</f>
        <v>762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-2849</v>
      </c>
      <c r="M119" s="37"/>
    </row>
    <row r="120" spans="1:13" ht="12.75" hidden="1" outlineLevel="1">
      <c r="A120" s="76" t="s">
        <v>109</v>
      </c>
      <c r="B120" s="38">
        <f>'2016-17'!L120</f>
        <v>-5424.117</v>
      </c>
      <c r="C120" s="24">
        <f>-5532.6+5424.117</f>
        <v>-108.48300000000017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-5532.6</v>
      </c>
      <c r="M120" s="37"/>
    </row>
    <row r="121" spans="1:13" ht="12.75" hidden="1" outlineLevel="1">
      <c r="A121" s="80" t="s">
        <v>110</v>
      </c>
      <c r="B121" s="38">
        <f>'2016-17'!L121</f>
        <v>-12164.321</v>
      </c>
      <c r="C121" s="24">
        <f>-12464.569+12164.321</f>
        <v>-300.2479999999996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-12464.569</v>
      </c>
      <c r="M121" s="37"/>
    </row>
    <row r="122" spans="1:13" ht="12.75" hidden="1" outlineLevel="1">
      <c r="A122" s="80" t="s">
        <v>111</v>
      </c>
      <c r="B122" s="38">
        <f>'2016-17'!L122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'2016-17'!L123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0.20709999999962747</v>
      </c>
      <c r="C125" s="24">
        <f t="shared" si="31"/>
        <v>662.0680000000011</v>
      </c>
      <c r="D125" s="24">
        <f t="shared" si="31"/>
        <v>0</v>
      </c>
      <c r="E125" s="24">
        <f t="shared" si="31"/>
        <v>171</v>
      </c>
      <c r="F125" s="24">
        <f t="shared" si="31"/>
        <v>-110</v>
      </c>
      <c r="G125" s="24">
        <f t="shared" si="31"/>
        <v>-660</v>
      </c>
      <c r="H125" s="24">
        <f t="shared" si="31"/>
        <v>-38</v>
      </c>
      <c r="I125" s="24">
        <f t="shared" si="31"/>
        <v>-16</v>
      </c>
      <c r="J125" s="24">
        <f t="shared" si="31"/>
        <v>-9</v>
      </c>
      <c r="K125" s="24">
        <f t="shared" si="31"/>
        <v>0</v>
      </c>
      <c r="L125" s="24">
        <f t="shared" si="31"/>
        <v>0.275099999998929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97 M85 M71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10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2" manualBreakCount="2">
    <brk id="40" max="12" man="1"/>
    <brk id="8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Appendix 2B - FINAL</dc:title>
  <dc:subject/>
  <dc:creator>Oxford City Council</dc:creator>
  <cp:keywords>Council meetings;Government, politics and public administration; Local government; Decision making; Council meetings;</cp:keywords>
  <dc:description/>
  <cp:lastModifiedBy>Mathew.Metcalfe</cp:lastModifiedBy>
  <cp:lastPrinted>2013-12-03T14:46:34Z</cp:lastPrinted>
  <dcterms:created xsi:type="dcterms:W3CDTF">2010-08-23T10:49:01Z</dcterms:created>
  <dcterms:modified xsi:type="dcterms:W3CDTF">2013-12-03T16:25:40Z</dcterms:modified>
  <cp:category/>
  <cp:version/>
  <cp:contentType/>
  <cp:contentStatus/>
</cp:coreProperties>
</file>